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SERVICES-TECHNIQUES\SAINT CHAMOND\DOSSIER COMMUN INGENIEUR GERALD CHRISTIAN\MB\Restructuration urgences\Suivi financier\"/>
    </mc:Choice>
  </mc:AlternateContent>
  <bookViews>
    <workbookView xWindow="0" yWindow="0" windowWidth="28800" windowHeight="12312" activeTab="2"/>
  </bookViews>
  <sheets>
    <sheet name="Détails" sheetId="1" r:id="rId1"/>
    <sheet name="Détails M0" sheetId="4" r:id="rId2"/>
    <sheet name="Résumé" sheetId="2" r:id="rId3"/>
    <sheet name="Feuil1" sheetId="3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9" i="1" l="1"/>
  <c r="G51" i="2" l="1"/>
  <c r="G50" i="2"/>
  <c r="H41" i="4"/>
  <c r="D31" i="2"/>
  <c r="E31" i="2"/>
  <c r="F31" i="2"/>
  <c r="H115" i="4"/>
  <c r="H114" i="4"/>
  <c r="H113" i="4"/>
  <c r="H112" i="4"/>
  <c r="H111" i="4"/>
  <c r="H110" i="4"/>
  <c r="H109" i="4"/>
  <c r="H108" i="4"/>
  <c r="H107" i="4"/>
  <c r="H106" i="4"/>
  <c r="H105" i="4"/>
  <c r="H104" i="4"/>
  <c r="H103" i="4"/>
  <c r="H102" i="4"/>
  <c r="H101" i="4"/>
  <c r="H100" i="4"/>
  <c r="H99" i="4"/>
  <c r="H98" i="4"/>
  <c r="H97" i="4"/>
  <c r="H96" i="4"/>
  <c r="H95" i="4"/>
  <c r="H94" i="4"/>
  <c r="H93" i="4"/>
  <c r="H92" i="4"/>
  <c r="H91" i="4"/>
  <c r="H90" i="4"/>
  <c r="H89" i="4"/>
  <c r="H88" i="4"/>
  <c r="H87" i="4"/>
  <c r="H86" i="4"/>
  <c r="H85" i="4"/>
  <c r="H84" i="4"/>
  <c r="H83" i="4"/>
  <c r="H82" i="4"/>
  <c r="H81" i="4"/>
  <c r="H80" i="4"/>
  <c r="H79" i="4"/>
  <c r="H78" i="4"/>
  <c r="H77" i="4"/>
  <c r="H76" i="4"/>
  <c r="H75" i="4"/>
  <c r="H74" i="4"/>
  <c r="H73" i="4"/>
  <c r="H72" i="4"/>
  <c r="H71" i="4"/>
  <c r="H70" i="4"/>
  <c r="H69" i="4"/>
  <c r="H68" i="4"/>
  <c r="H67" i="4"/>
  <c r="H66" i="4"/>
  <c r="H65" i="4"/>
  <c r="H6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0" i="4"/>
  <c r="H39" i="4"/>
  <c r="H38" i="4"/>
  <c r="G117" i="4" l="1"/>
  <c r="G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118" i="4" s="1"/>
  <c r="F124" i="4" l="1"/>
  <c r="F127" i="4" s="1"/>
  <c r="F128" i="4" s="1"/>
  <c r="F119" i="4"/>
  <c r="E117" i="4"/>
  <c r="J115" i="4"/>
  <c r="I115" i="4"/>
  <c r="G115" i="4"/>
  <c r="J114" i="4"/>
  <c r="J113" i="4"/>
  <c r="J112" i="4"/>
  <c r="J111" i="4"/>
  <c r="J110" i="4"/>
  <c r="J109" i="4"/>
  <c r="J108" i="4"/>
  <c r="J107" i="4"/>
  <c r="J106" i="4"/>
  <c r="J105" i="4"/>
  <c r="J104" i="4"/>
  <c r="I104" i="4"/>
  <c r="G104" i="4"/>
  <c r="J103" i="4"/>
  <c r="J102" i="4"/>
  <c r="J101" i="4"/>
  <c r="J100" i="4"/>
  <c r="J99" i="4"/>
  <c r="J98" i="4"/>
  <c r="J97" i="4"/>
  <c r="I97" i="4"/>
  <c r="G97" i="4"/>
  <c r="J96" i="4"/>
  <c r="J95" i="4"/>
  <c r="J94" i="4"/>
  <c r="J93" i="4"/>
  <c r="I91" i="4"/>
  <c r="J92" i="4"/>
  <c r="J91" i="4"/>
  <c r="G91" i="4"/>
  <c r="J90" i="4"/>
  <c r="J89" i="4"/>
  <c r="J88" i="4"/>
  <c r="J87" i="4"/>
  <c r="J86" i="4"/>
  <c r="I83" i="4"/>
  <c r="J84" i="4"/>
  <c r="J83" i="4"/>
  <c r="G83" i="4"/>
  <c r="J82" i="4"/>
  <c r="J81" i="4"/>
  <c r="I81" i="4"/>
  <c r="G81" i="4"/>
  <c r="J80" i="4"/>
  <c r="J79" i="4"/>
  <c r="I79" i="4"/>
  <c r="G79" i="4"/>
  <c r="J78" i="4"/>
  <c r="J77" i="4"/>
  <c r="J76" i="4"/>
  <c r="I76" i="4"/>
  <c r="G76" i="4"/>
  <c r="J75" i="4"/>
  <c r="J74" i="4"/>
  <c r="J73" i="4"/>
  <c r="J72" i="4"/>
  <c r="J71" i="4"/>
  <c r="J70" i="4"/>
  <c r="J69" i="4"/>
  <c r="J68" i="4"/>
  <c r="I68" i="4"/>
  <c r="G68" i="4"/>
  <c r="E68" i="4"/>
  <c r="J67" i="4"/>
  <c r="I67" i="4"/>
  <c r="G67" i="4"/>
  <c r="K67" i="4" s="1"/>
  <c r="J66" i="4"/>
  <c r="J65" i="4"/>
  <c r="J64" i="4"/>
  <c r="J63" i="4"/>
  <c r="I63" i="4"/>
  <c r="G63" i="4"/>
  <c r="E63" i="4"/>
  <c r="J62" i="4"/>
  <c r="J61" i="4"/>
  <c r="I61" i="4"/>
  <c r="G61" i="4"/>
  <c r="J60" i="4"/>
  <c r="I60" i="4"/>
  <c r="G60" i="4"/>
  <c r="J59" i="4"/>
  <c r="J58" i="4"/>
  <c r="J57" i="4"/>
  <c r="J56" i="4"/>
  <c r="I56" i="4"/>
  <c r="G56" i="4"/>
  <c r="J55" i="4"/>
  <c r="J54" i="4"/>
  <c r="J53" i="4"/>
  <c r="I53" i="4"/>
  <c r="G53" i="4"/>
  <c r="J52" i="4"/>
  <c r="J51" i="4"/>
  <c r="J50" i="4"/>
  <c r="J49" i="4"/>
  <c r="J48" i="4"/>
  <c r="J47" i="4"/>
  <c r="J46" i="4"/>
  <c r="J45" i="4"/>
  <c r="I45" i="4"/>
  <c r="G45" i="4"/>
  <c r="J44" i="4"/>
  <c r="I44" i="4"/>
  <c r="G44" i="4"/>
  <c r="J43" i="4"/>
  <c r="J42" i="4"/>
  <c r="J41" i="4"/>
  <c r="J40" i="4"/>
  <c r="J39" i="4"/>
  <c r="J38" i="4"/>
  <c r="I38" i="4"/>
  <c r="G38" i="4"/>
  <c r="E38" i="4"/>
  <c r="E118" i="4" s="1"/>
  <c r="E119" i="4" s="1"/>
  <c r="K37" i="4"/>
  <c r="J37" i="4"/>
  <c r="I34" i="4"/>
  <c r="H34" i="4"/>
  <c r="G34" i="4"/>
  <c r="F34" i="4"/>
  <c r="E34" i="4"/>
  <c r="I30" i="4"/>
  <c r="H30" i="4"/>
  <c r="G30" i="4"/>
  <c r="F30" i="4"/>
  <c r="E30" i="4"/>
  <c r="I28" i="4"/>
  <c r="H28" i="4"/>
  <c r="G28" i="4"/>
  <c r="F28" i="4"/>
  <c r="E28" i="4"/>
  <c r="I24" i="4"/>
  <c r="H24" i="4"/>
  <c r="G24" i="4"/>
  <c r="F24" i="4"/>
  <c r="E24" i="4"/>
  <c r="I22" i="4"/>
  <c r="H22" i="4"/>
  <c r="G22" i="4"/>
  <c r="F22" i="4"/>
  <c r="I21" i="4"/>
  <c r="H21" i="4"/>
  <c r="G21" i="4"/>
  <c r="F21" i="4"/>
  <c r="E21" i="4"/>
  <c r="I20" i="4"/>
  <c r="H20" i="4"/>
  <c r="G20" i="4"/>
  <c r="F20" i="4"/>
  <c r="E20" i="4"/>
  <c r="E19" i="4"/>
  <c r="I18" i="4"/>
  <c r="H18" i="4"/>
  <c r="G18" i="4"/>
  <c r="F18" i="4"/>
  <c r="E18" i="4"/>
  <c r="I13" i="4"/>
  <c r="H13" i="4"/>
  <c r="G13" i="4"/>
  <c r="F13" i="4"/>
  <c r="E13" i="4"/>
  <c r="H37" i="4" l="1"/>
  <c r="I37" i="4"/>
  <c r="E37" i="4"/>
  <c r="K63" i="4"/>
  <c r="F37" i="4"/>
  <c r="G37" i="4"/>
  <c r="K97" i="4"/>
  <c r="K76" i="4"/>
  <c r="K68" i="4"/>
  <c r="K56" i="4"/>
  <c r="I118" i="4"/>
  <c r="K44" i="4"/>
  <c r="K104" i="4"/>
  <c r="K91" i="4"/>
  <c r="K83" i="4"/>
  <c r="K81" i="4"/>
  <c r="K79" i="4"/>
  <c r="K61" i="4"/>
  <c r="K60" i="4"/>
  <c r="K53" i="4"/>
  <c r="K45" i="4"/>
  <c r="K122" i="4"/>
  <c r="G118" i="4"/>
  <c r="F11" i="4"/>
  <c r="K121" i="4"/>
  <c r="E11" i="4"/>
  <c r="J85" i="4"/>
  <c r="J118" i="4" s="1"/>
  <c r="H118" i="4"/>
  <c r="K38" i="4"/>
  <c r="I31" i="2"/>
  <c r="H31" i="2"/>
  <c r="G31" i="2"/>
  <c r="J55" i="2"/>
  <c r="G11" i="4" l="1"/>
  <c r="G124" i="4"/>
  <c r="G127" i="4" s="1"/>
  <c r="G128" i="4" s="1"/>
  <c r="I11" i="4"/>
  <c r="I119" i="4"/>
  <c r="H124" i="4"/>
  <c r="H119" i="4"/>
  <c r="H125" i="4" s="1"/>
  <c r="H11" i="4"/>
  <c r="K123" i="4"/>
  <c r="K118" i="4"/>
  <c r="I121" i="4"/>
  <c r="F118" i="1"/>
  <c r="H129" i="4" l="1"/>
  <c r="H127" i="4"/>
  <c r="H128" i="4" s="1"/>
  <c r="H130" i="4"/>
  <c r="G79" i="1"/>
  <c r="G43" i="2" s="1"/>
  <c r="G76" i="1"/>
  <c r="G42" i="2" s="1"/>
  <c r="I76" i="1"/>
  <c r="F42" i="2" s="1"/>
  <c r="I79" i="1"/>
  <c r="F43" i="2" s="1"/>
  <c r="J38" i="1"/>
  <c r="J114" i="1"/>
  <c r="H90" i="1"/>
  <c r="H89" i="1"/>
  <c r="H88" i="1"/>
  <c r="H87" i="1"/>
  <c r="H86" i="1"/>
  <c r="H85" i="1"/>
  <c r="G91" i="1"/>
  <c r="G46" i="2" s="1"/>
  <c r="H95" i="1"/>
  <c r="H94" i="1"/>
  <c r="J94" i="1" s="1"/>
  <c r="H93" i="1"/>
  <c r="I91" i="1" l="1"/>
  <c r="K79" i="1"/>
  <c r="K76" i="1"/>
  <c r="J86" i="1"/>
  <c r="J87" i="1"/>
  <c r="J88" i="1"/>
  <c r="J84" i="1"/>
  <c r="J47" i="1"/>
  <c r="J46" i="1"/>
  <c r="J39" i="1"/>
  <c r="J40" i="1"/>
  <c r="J41" i="1"/>
  <c r="J42" i="1"/>
  <c r="J43" i="1"/>
  <c r="I38" i="1"/>
  <c r="I45" i="1"/>
  <c r="F34" i="2" s="1"/>
  <c r="I53" i="1"/>
  <c r="F35" i="2" s="1"/>
  <c r="I56" i="1"/>
  <c r="F36" i="2" s="1"/>
  <c r="I60" i="1"/>
  <c r="F37" i="2" s="1"/>
  <c r="I61" i="1"/>
  <c r="F38" i="2" s="1"/>
  <c r="I63" i="1"/>
  <c r="F39" i="2" s="1"/>
  <c r="I67" i="1"/>
  <c r="F40" i="2" s="1"/>
  <c r="I68" i="1"/>
  <c r="F41" i="2" s="1"/>
  <c r="I81" i="1"/>
  <c r="F44" i="2" s="1"/>
  <c r="I83" i="1"/>
  <c r="F45" i="2" s="1"/>
  <c r="I97" i="1"/>
  <c r="F47" i="2" s="1"/>
  <c r="I104" i="1"/>
  <c r="I115" i="1"/>
  <c r="F49" i="2" s="1"/>
  <c r="J92" i="1"/>
  <c r="J64" i="1"/>
  <c r="F48" i="2" l="1"/>
  <c r="F32" i="2"/>
  <c r="F46" i="2"/>
  <c r="K91" i="1"/>
  <c r="I44" i="1"/>
  <c r="F33" i="2" s="1"/>
  <c r="I118" i="1" l="1"/>
  <c r="F52" i="2"/>
  <c r="F53" i="2" s="1"/>
  <c r="F55" i="2" s="1"/>
  <c r="I13" i="1"/>
  <c r="I18" i="1"/>
  <c r="I20" i="1"/>
  <c r="I21" i="1"/>
  <c r="I22" i="1"/>
  <c r="I24" i="1"/>
  <c r="I28" i="1"/>
  <c r="I30" i="1"/>
  <c r="I34" i="1"/>
  <c r="P41" i="2" l="1"/>
  <c r="O16" i="2"/>
  <c r="P16" i="2"/>
  <c r="Q16" i="2"/>
  <c r="O19" i="2"/>
  <c r="P19" i="2"/>
  <c r="O20" i="2"/>
  <c r="P20" i="2"/>
  <c r="O21" i="2"/>
  <c r="P21" i="2"/>
  <c r="Q21" i="2"/>
  <c r="O22" i="2"/>
  <c r="P22" i="2"/>
  <c r="Q22" i="2"/>
  <c r="O23" i="2"/>
  <c r="P23" i="2"/>
  <c r="O25" i="2"/>
  <c r="P25" i="2"/>
  <c r="Q25" i="2"/>
  <c r="O26" i="2"/>
  <c r="P26" i="2"/>
  <c r="Q26" i="2"/>
  <c r="O27" i="2"/>
  <c r="P27" i="2"/>
  <c r="Q27" i="2"/>
  <c r="O28" i="2"/>
  <c r="P28" i="2"/>
  <c r="Q28" i="2"/>
  <c r="O29" i="2"/>
  <c r="P29" i="2"/>
  <c r="Q29" i="2"/>
  <c r="O30" i="2"/>
  <c r="P30" i="2"/>
  <c r="Q30" i="2"/>
  <c r="L22" i="2"/>
  <c r="K22" i="2"/>
  <c r="F24" i="2"/>
  <c r="E24" i="2"/>
  <c r="O24" i="2" s="1"/>
  <c r="D24" i="2"/>
  <c r="P24" i="2" s="1"/>
  <c r="F20" i="2"/>
  <c r="E20" i="2"/>
  <c r="D20" i="2"/>
  <c r="F19" i="2"/>
  <c r="E19" i="2"/>
  <c r="D19" i="2"/>
  <c r="F17" i="2"/>
  <c r="E17" i="2"/>
  <c r="O17" i="2" s="1"/>
  <c r="D17" i="2"/>
  <c r="P17" i="2" s="1"/>
  <c r="H19" i="2"/>
  <c r="I19" i="2"/>
  <c r="Q19" i="2" s="1"/>
  <c r="I17" i="2"/>
  <c r="K16" i="2"/>
  <c r="J17" i="2"/>
  <c r="Q17" i="2" l="1"/>
  <c r="J24" i="2" l="1"/>
  <c r="H118" i="1"/>
  <c r="F20" i="1"/>
  <c r="G20" i="1"/>
  <c r="H20" i="1"/>
  <c r="F18" i="1"/>
  <c r="G18" i="1"/>
  <c r="H18" i="1"/>
  <c r="G24" i="2" l="1"/>
  <c r="G19" i="2"/>
  <c r="E20" i="1"/>
  <c r="E18" i="1"/>
  <c r="I23" i="2" l="1"/>
  <c r="Q23" i="2" s="1"/>
  <c r="H23" i="2"/>
  <c r="E19" i="1"/>
  <c r="H50" i="2" l="1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E117" i="1"/>
  <c r="I52" i="2" l="1"/>
  <c r="M26" i="2"/>
  <c r="M27" i="2"/>
  <c r="M28" i="2"/>
  <c r="M29" i="2"/>
  <c r="M30" i="2"/>
  <c r="L26" i="2"/>
  <c r="L27" i="2"/>
  <c r="L28" i="2"/>
  <c r="L29" i="2"/>
  <c r="L30" i="2"/>
  <c r="K30" i="2"/>
  <c r="K29" i="2"/>
  <c r="K28" i="2"/>
  <c r="K27" i="2"/>
  <c r="K26" i="2"/>
  <c r="M22" i="2"/>
  <c r="D15" i="2"/>
  <c r="E15" i="2"/>
  <c r="F15" i="2"/>
  <c r="G17" i="2"/>
  <c r="H17" i="2"/>
  <c r="O32" i="2"/>
  <c r="P32" i="2"/>
  <c r="Q32" i="2"/>
  <c r="O33" i="2"/>
  <c r="P33" i="2"/>
  <c r="Q33" i="2"/>
  <c r="O34" i="2"/>
  <c r="P34" i="2"/>
  <c r="Q34" i="2"/>
  <c r="O35" i="2"/>
  <c r="P35" i="2"/>
  <c r="Q35" i="2"/>
  <c r="O36" i="2"/>
  <c r="P36" i="2"/>
  <c r="Q36" i="2"/>
  <c r="O37" i="2"/>
  <c r="P37" i="2"/>
  <c r="Q37" i="2"/>
  <c r="O38" i="2"/>
  <c r="P38" i="2"/>
  <c r="Q38" i="2"/>
  <c r="O39" i="2"/>
  <c r="P39" i="2"/>
  <c r="Q39" i="2"/>
  <c r="O40" i="2"/>
  <c r="P40" i="2"/>
  <c r="Q40" i="2"/>
  <c r="O41" i="2"/>
  <c r="Q41" i="2"/>
  <c r="O42" i="2"/>
  <c r="P42" i="2"/>
  <c r="Q42" i="2"/>
  <c r="O43" i="2"/>
  <c r="P43" i="2"/>
  <c r="Q43" i="2"/>
  <c r="O44" i="2"/>
  <c r="P44" i="2"/>
  <c r="Q44" i="2"/>
  <c r="O45" i="2"/>
  <c r="P45" i="2"/>
  <c r="Q45" i="2"/>
  <c r="O46" i="2"/>
  <c r="P46" i="2"/>
  <c r="Q46" i="2"/>
  <c r="O47" i="2"/>
  <c r="P47" i="2"/>
  <c r="Q47" i="2"/>
  <c r="O48" i="2"/>
  <c r="P48" i="2"/>
  <c r="Q48" i="2"/>
  <c r="O49" i="2"/>
  <c r="P49" i="2"/>
  <c r="Q49" i="2"/>
  <c r="D52" i="2"/>
  <c r="E52" i="2"/>
  <c r="H49" i="2"/>
  <c r="H48" i="2"/>
  <c r="H47" i="2"/>
  <c r="H46" i="2"/>
  <c r="H45" i="2"/>
  <c r="H44" i="2"/>
  <c r="H43" i="2"/>
  <c r="H42" i="2"/>
  <c r="H40" i="2"/>
  <c r="H38" i="2"/>
  <c r="H37" i="2"/>
  <c r="H36" i="2"/>
  <c r="H35" i="2"/>
  <c r="H34" i="2"/>
  <c r="H33" i="2"/>
  <c r="I24" i="2"/>
  <c r="Q24" i="2" s="1"/>
  <c r="I20" i="2"/>
  <c r="Q20" i="2" s="1"/>
  <c r="I15" i="2"/>
  <c r="O52" i="2" l="1"/>
  <c r="P52" i="2"/>
  <c r="Q52" i="2"/>
  <c r="O15" i="2"/>
  <c r="Q15" i="2"/>
  <c r="P15" i="2"/>
  <c r="P31" i="2"/>
  <c r="D53" i="2"/>
  <c r="D55" i="2" s="1"/>
  <c r="O31" i="2" l="1"/>
  <c r="E53" i="2"/>
  <c r="E55" i="2" s="1"/>
  <c r="P53" i="2"/>
  <c r="M17" i="2"/>
  <c r="M19" i="2"/>
  <c r="M21" i="2"/>
  <c r="M25" i="2"/>
  <c r="M50" i="2"/>
  <c r="M51" i="2"/>
  <c r="L17" i="2"/>
  <c r="L19" i="2"/>
  <c r="L21" i="2"/>
  <c r="L25" i="2"/>
  <c r="L50" i="2"/>
  <c r="L51" i="2"/>
  <c r="K19" i="2"/>
  <c r="K20" i="2"/>
  <c r="K21" i="2"/>
  <c r="K23" i="2"/>
  <c r="K24" i="2"/>
  <c r="K25" i="2"/>
  <c r="O53" i="2" l="1"/>
  <c r="K52" i="2"/>
  <c r="L49" i="2"/>
  <c r="L48" i="2"/>
  <c r="L47" i="2"/>
  <c r="L46" i="2"/>
  <c r="L45" i="2"/>
  <c r="L44" i="2"/>
  <c r="L43" i="2"/>
  <c r="L42" i="2"/>
  <c r="L40" i="2"/>
  <c r="L38" i="2"/>
  <c r="L37" i="2"/>
  <c r="L36" i="2"/>
  <c r="L35" i="2"/>
  <c r="L34" i="2"/>
  <c r="L33" i="2"/>
  <c r="H24" i="2"/>
  <c r="L24" i="2" s="1"/>
  <c r="L23" i="2"/>
  <c r="H20" i="2"/>
  <c r="H15" i="2"/>
  <c r="M23" i="2"/>
  <c r="G20" i="2"/>
  <c r="G15" i="2"/>
  <c r="K58" i="2"/>
  <c r="K57" i="2"/>
  <c r="K17" i="2"/>
  <c r="L15" i="2" l="1"/>
  <c r="M24" i="2"/>
  <c r="J31" i="2"/>
  <c r="K31" i="2" s="1"/>
  <c r="M20" i="2"/>
  <c r="K15" i="2"/>
  <c r="L20" i="2"/>
  <c r="I53" i="2"/>
  <c r="Q31" i="2"/>
  <c r="M15" i="2"/>
  <c r="Q53" i="2" l="1"/>
  <c r="I55" i="2"/>
  <c r="M31" i="2"/>
  <c r="J53" i="2"/>
  <c r="K53" i="2" s="1"/>
  <c r="L31" i="2"/>
  <c r="N31" i="2"/>
  <c r="J44" i="1" l="1"/>
  <c r="J118" i="1" s="1"/>
  <c r="J45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5" i="1"/>
  <c r="J89" i="1"/>
  <c r="J90" i="1"/>
  <c r="J91" i="1"/>
  <c r="J93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5" i="1"/>
  <c r="G44" i="1" l="1"/>
  <c r="G33" i="2" s="1"/>
  <c r="H24" i="1"/>
  <c r="N33" i="2" l="1"/>
  <c r="K44" i="1"/>
  <c r="I37" i="1"/>
  <c r="I11" i="1" s="1"/>
  <c r="J37" i="1"/>
  <c r="K37" i="1"/>
  <c r="G28" i="1"/>
  <c r="G24" i="1"/>
  <c r="G22" i="1"/>
  <c r="G21" i="1"/>
  <c r="G13" i="1"/>
  <c r="G30" i="1"/>
  <c r="H30" i="1"/>
  <c r="G34" i="1"/>
  <c r="H34" i="1"/>
  <c r="F30" i="1"/>
  <c r="F34" i="1"/>
  <c r="E38" i="1"/>
  <c r="E68" i="1"/>
  <c r="H41" i="2" s="1"/>
  <c r="L41" i="2" s="1"/>
  <c r="E63" i="1"/>
  <c r="H39" i="2" s="1"/>
  <c r="L39" i="2" s="1"/>
  <c r="M33" i="2" l="1"/>
  <c r="G37" i="1"/>
  <c r="E118" i="1"/>
  <c r="E119" i="1" s="1"/>
  <c r="H32" i="2"/>
  <c r="H28" i="1"/>
  <c r="H22" i="1"/>
  <c r="H21" i="1"/>
  <c r="H13" i="1"/>
  <c r="H37" i="1" s="1"/>
  <c r="H11" i="1" s="1"/>
  <c r="E34" i="1"/>
  <c r="E30" i="1"/>
  <c r="F13" i="1"/>
  <c r="E13" i="1"/>
  <c r="E24" i="1"/>
  <c r="E28" i="1"/>
  <c r="E21" i="1"/>
  <c r="F22" i="1"/>
  <c r="L32" i="2" l="1"/>
  <c r="H52" i="2"/>
  <c r="E37" i="1"/>
  <c r="E11" i="1" s="1"/>
  <c r="F21" i="1"/>
  <c r="F24" i="1"/>
  <c r="F28" i="1"/>
  <c r="F37" i="1" s="1"/>
  <c r="F11" i="1" s="1"/>
  <c r="G115" i="1"/>
  <c r="G49" i="2" s="1"/>
  <c r="G104" i="1"/>
  <c r="G48" i="2" l="1"/>
  <c r="K104" i="1"/>
  <c r="M48" i="2"/>
  <c r="N49" i="2"/>
  <c r="M49" i="2"/>
  <c r="L52" i="2"/>
  <c r="H53" i="2"/>
  <c r="H55" i="2" s="1"/>
  <c r="G97" i="1"/>
  <c r="G47" i="2" s="1"/>
  <c r="G83" i="1"/>
  <c r="G45" i="2" s="1"/>
  <c r="G81" i="1"/>
  <c r="G44" i="2" s="1"/>
  <c r="G68" i="1"/>
  <c r="G41" i="2" s="1"/>
  <c r="G67" i="1"/>
  <c r="G40" i="2" s="1"/>
  <c r="G63" i="1"/>
  <c r="G39" i="2" s="1"/>
  <c r="G61" i="1"/>
  <c r="G38" i="2" s="1"/>
  <c r="G60" i="1"/>
  <c r="G37" i="2" s="1"/>
  <c r="G56" i="1"/>
  <c r="G36" i="2" s="1"/>
  <c r="G53" i="1"/>
  <c r="G35" i="2" s="1"/>
  <c r="G45" i="1"/>
  <c r="G34" i="2" s="1"/>
  <c r="G38" i="1"/>
  <c r="G32" i="2" l="1"/>
  <c r="N32" i="2" s="1"/>
  <c r="G118" i="1"/>
  <c r="K38" i="1"/>
  <c r="N48" i="2"/>
  <c r="N44" i="2"/>
  <c r="K81" i="1"/>
  <c r="N45" i="2"/>
  <c r="K83" i="1"/>
  <c r="N34" i="2"/>
  <c r="K45" i="1"/>
  <c r="M35" i="2"/>
  <c r="K53" i="1"/>
  <c r="M47" i="2"/>
  <c r="K97" i="1"/>
  <c r="N36" i="2"/>
  <c r="K56" i="1"/>
  <c r="N37" i="2"/>
  <c r="K60" i="1"/>
  <c r="N38" i="2"/>
  <c r="K61" i="1"/>
  <c r="N40" i="2"/>
  <c r="K67" i="1"/>
  <c r="N41" i="2"/>
  <c r="K68" i="1"/>
  <c r="N42" i="2"/>
  <c r="N43" i="2"/>
  <c r="M46" i="2"/>
  <c r="N39" i="2"/>
  <c r="K63" i="1"/>
  <c r="M38" i="2"/>
  <c r="L53" i="2"/>
  <c r="I119" i="1"/>
  <c r="M32" i="2" l="1"/>
  <c r="K118" i="1"/>
  <c r="M34" i="2"/>
  <c r="M40" i="2"/>
  <c r="M39" i="2"/>
  <c r="M43" i="2"/>
  <c r="M44" i="2"/>
  <c r="M36" i="2"/>
  <c r="M42" i="2"/>
  <c r="M41" i="2"/>
  <c r="M45" i="2"/>
  <c r="N47" i="2"/>
  <c r="N35" i="2"/>
  <c r="M37" i="2"/>
  <c r="G52" i="2"/>
  <c r="N46" i="2"/>
  <c r="G11" i="1"/>
  <c r="N52" i="2" l="1"/>
  <c r="G53" i="2"/>
  <c r="G55" i="2" s="1"/>
  <c r="M52" i="2"/>
  <c r="M53" i="2" l="1"/>
  <c r="N53" i="2"/>
</calcChain>
</file>

<file path=xl/sharedStrings.xml><?xml version="1.0" encoding="utf-8"?>
<sst xmlns="http://schemas.openxmlformats.org/spreadsheetml/2006/main" count="777" uniqueCount="198">
  <si>
    <t>SUIVI FINANCIER</t>
  </si>
  <si>
    <t>RESTRUCTURATION DES URGENCES</t>
  </si>
  <si>
    <t>PHASE</t>
  </si>
  <si>
    <t>APS</t>
  </si>
  <si>
    <t>APD</t>
  </si>
  <si>
    <t>DCE</t>
  </si>
  <si>
    <t>PRO</t>
  </si>
  <si>
    <t>Rédacteur</t>
  </si>
  <si>
    <t>date MàJ</t>
  </si>
  <si>
    <t>ER</t>
  </si>
  <si>
    <t>Nature</t>
  </si>
  <si>
    <t>Attributaire</t>
  </si>
  <si>
    <t>HONORAIRES ARCHITECTES, INGENIEURS ET SPECIALISTES</t>
  </si>
  <si>
    <t>Services</t>
  </si>
  <si>
    <t>BET</t>
  </si>
  <si>
    <t>FRAIS CERTIFICATION ENVIRONNEMENTALE</t>
  </si>
  <si>
    <t>GEOMETRE</t>
  </si>
  <si>
    <t>HONORAIRE JURIDIQUE</t>
  </si>
  <si>
    <t>UTILISATION DOMAINE PUBLIC</t>
  </si>
  <si>
    <t>FRAIS DIVERS</t>
  </si>
  <si>
    <t>FRAIS CONCOURS (PRIX - REMUNERATION)</t>
  </si>
  <si>
    <t>PROVISION</t>
  </si>
  <si>
    <t>CONTENTIEUX</t>
  </si>
  <si>
    <t>Taxes</t>
  </si>
  <si>
    <t>Travaux</t>
  </si>
  <si>
    <t>ARCHITECTE (mission de base +  EXE partiel)</t>
  </si>
  <si>
    <t>OPC</t>
  </si>
  <si>
    <t>SIGNA</t>
  </si>
  <si>
    <t>SEXTANT</t>
  </si>
  <si>
    <t>TPFI</t>
  </si>
  <si>
    <t>DEMETER</t>
  </si>
  <si>
    <t xml:space="preserve">INDEX </t>
  </si>
  <si>
    <t>Libellé du lot</t>
  </si>
  <si>
    <t>VRD</t>
  </si>
  <si>
    <t>LOT 01 - VRD et Espaces Verts</t>
  </si>
  <si>
    <t>LOT 02 - Fondations</t>
  </si>
  <si>
    <t>LOT 03 - Structure</t>
  </si>
  <si>
    <t>LOT 04 - Etanchéité</t>
  </si>
  <si>
    <t>LOT 05 - Façades</t>
  </si>
  <si>
    <t>LOT 06 - Menuiseries Extérieures</t>
  </si>
  <si>
    <t>LOT 07 - Démolition et Curage</t>
  </si>
  <si>
    <t>LOT 08 - Cloisonnement, doublage, Faux-plafond fixe, peinture</t>
  </si>
  <si>
    <t>LOT 09 - Faux-plafond démontable</t>
  </si>
  <si>
    <t>LOT 10 - Menuiseries Intérieures, mobilier, signalétique</t>
  </si>
  <si>
    <t>LOT 11 - Sol souples, carrelage, faïences</t>
  </si>
  <si>
    <t>LOT 12 - Portes automatiques</t>
  </si>
  <si>
    <t>LOT 13a - Fluides médicaux</t>
  </si>
  <si>
    <t>LOT 13b - Plomberie Sanitaires</t>
  </si>
  <si>
    <t>LOT 13c - CVC et Désenfumage</t>
  </si>
  <si>
    <t>LOT 14a - CFO</t>
  </si>
  <si>
    <t>LOT 14b - CFA et SSI</t>
  </si>
  <si>
    <t>LOT 15 - Nettoyage</t>
  </si>
  <si>
    <t>DEMOLITION ET DECAPAGE</t>
  </si>
  <si>
    <t>TERRASSEMENT</t>
  </si>
  <si>
    <t>RESEAUX ENTERRES</t>
  </si>
  <si>
    <t>MACONNERIE ET SERRURERIE</t>
  </si>
  <si>
    <t>ESPACES VERTS</t>
  </si>
  <si>
    <t>FONDATIONS</t>
  </si>
  <si>
    <t>INSTALLATION DE CHANTIER</t>
  </si>
  <si>
    <t>RESEAUX SOUS DALLAGE</t>
  </si>
  <si>
    <t>OUVRAGE EN INFRASTRUCTURE</t>
  </si>
  <si>
    <t>OUVRAGE EN SUPERSTRUCTURE</t>
  </si>
  <si>
    <t>ADAPTATIONS ET MODIFICATIONS DES ELEVATIONS EXISTANTES</t>
  </si>
  <si>
    <t>DIVERS</t>
  </si>
  <si>
    <t>REFACTION D'ETANCHEITE EXISTANTE</t>
  </si>
  <si>
    <t>ETANCHEITE BATIMENTS NEUFS</t>
  </si>
  <si>
    <t>BARDAGE</t>
  </si>
  <si>
    <t>LASURES ET ENDUITS</t>
  </si>
  <si>
    <t>SIGNALETIQUE</t>
  </si>
  <si>
    <t>AUTRES</t>
  </si>
  <si>
    <t>CHASSIS VITRES</t>
  </si>
  <si>
    <t>CONFINEMENTS DES ZONES TRAVAUX</t>
  </si>
  <si>
    <t>DEMOLITION ET CURAGE</t>
  </si>
  <si>
    <t>CLOISONS DOUBLAGES</t>
  </si>
  <si>
    <t>FAUX-PLAFONDS</t>
  </si>
  <si>
    <t>PEINTURE</t>
  </si>
  <si>
    <t>BLOC-PORTES</t>
  </si>
  <si>
    <t>GAINES TECHNIQUES</t>
  </si>
  <si>
    <t>CHÂSSIS VITRES</t>
  </si>
  <si>
    <t>PROTECTIONS MURALES</t>
  </si>
  <si>
    <t>MOBILIER SUR MESURE</t>
  </si>
  <si>
    <t>MOBILIER D'AMENAGEMENT</t>
  </si>
  <si>
    <t>SIGNALETIQUES</t>
  </si>
  <si>
    <t>SOLS SOUPLES</t>
  </si>
  <si>
    <t>CARRELAGE ET FAÏENCES</t>
  </si>
  <si>
    <t>BLOCS-PORTES AUTOMATIQUES BATTANTS</t>
  </si>
  <si>
    <t>BLOCS-PORTES AUTOMATIQUES COULISSANTS</t>
  </si>
  <si>
    <t>Zone urgences et maison médicale de garde</t>
  </si>
  <si>
    <t>Zone consultation</t>
  </si>
  <si>
    <t>Travaux de dépose</t>
  </si>
  <si>
    <t>Réalimentation du bâtiment administratif</t>
  </si>
  <si>
    <t>Nouveaux équipements sanitaires</t>
  </si>
  <si>
    <t>Raccordements eau froide et eau chaude sanitaire</t>
  </si>
  <si>
    <t>Raccordements des évacuations</t>
  </si>
  <si>
    <t>Intervention en sous-sol</t>
  </si>
  <si>
    <t>Unité terminales plafonières</t>
  </si>
  <si>
    <t>Ventilation mécanique</t>
  </si>
  <si>
    <t>Désenfumage mécanique</t>
  </si>
  <si>
    <t>Electricité - Régulation</t>
  </si>
  <si>
    <t>GENERALITES</t>
  </si>
  <si>
    <t>TRAVAUX DE DEPOSES CFO CFA</t>
  </si>
  <si>
    <t>DISTRIBUTIONS ELECTRIQUE</t>
  </si>
  <si>
    <t>APPAREILLAGES</t>
  </si>
  <si>
    <t>ALIMENTATIONS SPECIFIQUES</t>
  </si>
  <si>
    <t>ÉCLAIRAGE</t>
  </si>
  <si>
    <t>TRAVAUX DE DEPOSE</t>
  </si>
  <si>
    <t>VDI</t>
  </si>
  <si>
    <t>APPEL MALADE</t>
  </si>
  <si>
    <t xml:space="preserve">SSI </t>
  </si>
  <si>
    <t xml:space="preserve">CONTRÔLE D'ACCES </t>
  </si>
  <si>
    <t>VISIOPHONIE</t>
  </si>
  <si>
    <t>TV</t>
  </si>
  <si>
    <t>DISTRIBUTION HORAIRE</t>
  </si>
  <si>
    <t>VIDEOSURVEILLANCE</t>
  </si>
  <si>
    <t>NETTOYAGE</t>
  </si>
  <si>
    <t>PRESTATIONS</t>
  </si>
  <si>
    <t>BUREAU DE CONTRÔLE TECHNIQUE</t>
  </si>
  <si>
    <t>Coord SPS</t>
  </si>
  <si>
    <t>Coord SSI</t>
  </si>
  <si>
    <t>GEOTECH</t>
  </si>
  <si>
    <t>DIAG AMIANTE / PLOMB</t>
  </si>
  <si>
    <t>HUISSIER</t>
  </si>
  <si>
    <t>ASSURANCES DO - TRC</t>
  </si>
  <si>
    <t>GEOFIT EXPERT</t>
  </si>
  <si>
    <t>ASCOREAL</t>
  </si>
  <si>
    <t>APAVE</t>
  </si>
  <si>
    <t>VERITAS</t>
  </si>
  <si>
    <t>EXELL SECURITE</t>
  </si>
  <si>
    <t>PROGRAMMISTE - AMO</t>
  </si>
  <si>
    <t>FRAIS GARDIENNAGE CHANTIER</t>
  </si>
  <si>
    <t>REVISION ETUDES</t>
  </si>
  <si>
    <t>REVISION TRAVAUX</t>
  </si>
  <si>
    <t>TAXES</t>
  </si>
  <si>
    <t>ALEAS</t>
  </si>
  <si>
    <t>MARCHES NOTIFIES
€ HT</t>
  </si>
  <si>
    <t>Plus
values PRO vs APD 02</t>
  </si>
  <si>
    <t>AVENANT</t>
  </si>
  <si>
    <t>TOTAL 3</t>
  </si>
  <si>
    <t>Status contrat</t>
  </si>
  <si>
    <t>Status paiement</t>
  </si>
  <si>
    <t>CHANTIER</t>
  </si>
  <si>
    <t xml:space="preserve">Budget APS IND02
€HT
du 20/06/2024 </t>
  </si>
  <si>
    <t>TOTAL</t>
  </si>
  <si>
    <t xml:space="preserve">TOTAL </t>
  </si>
  <si>
    <t xml:space="preserve">complément </t>
  </si>
  <si>
    <t>économie</t>
  </si>
  <si>
    <t>BUDGET APD par LOT € HT du 27/11
VALIDE LRAR</t>
  </si>
  <si>
    <t>Concours</t>
  </si>
  <si>
    <t>TDC faisa</t>
  </si>
  <si>
    <t>Ecart concours / faisa</t>
  </si>
  <si>
    <t>Objet</t>
  </si>
  <si>
    <t>€ - TTC</t>
  </si>
  <si>
    <t>€ TTC</t>
  </si>
  <si>
    <t>Marché MOE</t>
  </si>
  <si>
    <t>Géomètre</t>
  </si>
  <si>
    <t>CT</t>
  </si>
  <si>
    <t>Révision études</t>
  </si>
  <si>
    <t>Révision travaux</t>
  </si>
  <si>
    <t>TDC</t>
  </si>
  <si>
    <t>CONCOURS</t>
  </si>
  <si>
    <t>HT</t>
  </si>
  <si>
    <t>TOTAL HT</t>
  </si>
  <si>
    <t>TTC</t>
  </si>
  <si>
    <t>RECEPTION</t>
  </si>
  <si>
    <t>MARCHES
NOTIFIES</t>
  </si>
  <si>
    <t>Pistes d'économies sur APD IND 00</t>
  </si>
  <si>
    <t>Compléments de prestations</t>
  </si>
  <si>
    <t>Travaux SOUS TOTAL 2</t>
  </si>
  <si>
    <t>Ecart APD / APS</t>
  </si>
  <si>
    <t>Ecart PRO / APD</t>
  </si>
  <si>
    <t>Ecart APS / concours</t>
  </si>
  <si>
    <t>Ecart notif / PRO</t>
  </si>
  <si>
    <t>Ecart solde / notif</t>
  </si>
  <si>
    <t>Ecart solde / concours</t>
  </si>
  <si>
    <t>MARCHES SOLDES</t>
  </si>
  <si>
    <t>PI  SOUS TOTAL 1</t>
  </si>
  <si>
    <t>TOTAL 1+2</t>
  </si>
  <si>
    <t>dispo pour aléas</t>
  </si>
  <si>
    <t xml:space="preserve"> </t>
  </si>
  <si>
    <t>option*</t>
  </si>
  <si>
    <t>* option Hall, parking, souténement mur</t>
  </si>
  <si>
    <t>DIAG (plomb, amiante)</t>
  </si>
  <si>
    <t>DOCUMENTS A FOURNIR</t>
  </si>
  <si>
    <t>Dossier EXE</t>
  </si>
  <si>
    <t>Etudes</t>
  </si>
  <si>
    <t>Dévoiement des colonnes</t>
  </si>
  <si>
    <t>AMOA Assurance</t>
  </si>
  <si>
    <t>BUDGET PRO définitif LOT € HT du 23/01</t>
  </si>
  <si>
    <t>BUDGET PRO définitif € HT du 23/01</t>
  </si>
  <si>
    <t>en plus</t>
  </si>
  <si>
    <t>en moins</t>
  </si>
  <si>
    <t>delta</t>
  </si>
  <si>
    <t>Honoraire complémentaires MOE constatés</t>
  </si>
  <si>
    <r>
      <t>BUDGET APD € HT du 27/11</t>
    </r>
    <r>
      <rPr>
        <b/>
        <sz val="12"/>
        <color rgb="FFFF0000"/>
        <rFont val="Calibri"/>
        <family val="2"/>
      </rPr>
      <t xml:space="preserve"> </t>
    </r>
    <r>
      <rPr>
        <i/>
        <sz val="10"/>
        <color rgb="FFFF0000"/>
        <rFont val="Calibri"/>
        <family val="2"/>
      </rPr>
      <t>(valeur Juillet 2024)</t>
    </r>
  </si>
  <si>
    <t>BUDGET APD € HT du 27/11 valeur M0</t>
  </si>
  <si>
    <t>HT valeur M0</t>
  </si>
  <si>
    <t>TOTAL valeur M0</t>
  </si>
  <si>
    <t>valeur M0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</si>
</sst>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8" formatCode="#,##0.00\ &quot;€&quot;;[Red]\-#,##0.00\ &quot;€&quot;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_F"/>
    <numFmt numFmtId="165" formatCode="#,##0.00\ [$€];[Red]\-#,##0.00\ [$€]"/>
    <numFmt numFmtId="166" formatCode="_-* #,##0.00_-;\-* #,##0.00_-;_-* &quot;-&quot;??_-;_-@_-"/>
    <numFmt numFmtId="167" formatCode="_-* #,##0_-;\-* #,##0_-;_-* &quot;-&quot;??_-;_-@_-"/>
    <numFmt numFmtId="168" formatCode="_-* #,##0.00\ [$€-1]_-;\-* #,##0.00\ [$€-1]_-;_-* &quot;-&quot;??\ [$€-1]_-"/>
    <numFmt numFmtId="169" formatCode="_-* #,##0.00\ _F_-;\-* #,##0.00\ _F_-;_-* &quot;-&quot;??\ _F_-;_-@_-"/>
    <numFmt numFmtId="170" formatCode="#,##0\ &quot;€&quot;"/>
    <numFmt numFmtId="171" formatCode="#,##0.00\ &quot;€&quot;"/>
    <numFmt numFmtId="172" formatCode="_-* #,##0.00\ [$€-1]_-;\-* #,##0.00\ [$€-1]_-;_-* &quot;-&quot;??\ [$€-1]_-;_-@_-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5050"/>
      <name val="Calibri"/>
      <family val="2"/>
      <scheme val="minor"/>
    </font>
    <font>
      <sz val="10"/>
      <name val="Arial"/>
      <family val="2"/>
    </font>
    <font>
      <b/>
      <sz val="10"/>
      <name val="Courier"/>
      <family val="3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9"/>
      <name val="Calibri"/>
      <family val="2"/>
    </font>
    <font>
      <sz val="10"/>
      <color rgb="FF000000"/>
      <name val="Times New Roman"/>
      <family val="1"/>
    </font>
    <font>
      <b/>
      <sz val="12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b/>
      <sz val="10"/>
      <name val="Calibri"/>
      <family val="2"/>
    </font>
    <font>
      <b/>
      <sz val="18"/>
      <color rgb="FFFF5050"/>
      <name val="Calibri"/>
      <family val="2"/>
      <scheme val="minor"/>
    </font>
    <font>
      <b/>
      <sz val="18"/>
      <color theme="4" tint="-0.249977111117893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Calibri"/>
      <family val="2"/>
    </font>
    <font>
      <i/>
      <sz val="10"/>
      <color rgb="FFFF0000"/>
      <name val="Calibri"/>
      <family val="2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006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auto="1"/>
      </top>
      <bottom/>
      <diagonal/>
    </border>
    <border>
      <left style="thin">
        <color theme="1" tint="0.499984740745262"/>
      </left>
      <right/>
      <top style="medium">
        <color auto="1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medium">
        <color auto="1"/>
      </top>
      <bottom style="medium">
        <color auto="1"/>
      </bottom>
      <diagonal/>
    </border>
    <border>
      <left style="thin">
        <color theme="1" tint="0.499984740745262"/>
      </left>
      <right/>
      <top/>
      <bottom style="medium">
        <color auto="1"/>
      </bottom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theme="1" tint="0.499984740745262"/>
      </top>
      <bottom/>
      <diagonal/>
    </border>
    <border>
      <left style="thin">
        <color auto="1"/>
      </left>
      <right style="thin">
        <color auto="1"/>
      </right>
      <top/>
      <bottom style="thin">
        <color theme="1" tint="0.499984740745262"/>
      </bottom>
      <diagonal/>
    </border>
    <border>
      <left/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thin">
        <color auto="1"/>
      </right>
      <top style="thin">
        <color theme="1" tint="0.499984740745262"/>
      </top>
      <bottom style="thin">
        <color theme="0" tint="-0.24994659260841701"/>
      </bottom>
      <diagonal/>
    </border>
    <border>
      <left/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 style="hair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theme="0" tint="-0.1499679555650502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 style="thick">
        <color rgb="FFFF0000"/>
      </right>
      <top/>
      <bottom style="thick">
        <color rgb="FFFF000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14996795556505021"/>
      </bottom>
      <diagonal/>
    </border>
    <border>
      <left/>
      <right style="medium">
        <color indexed="64"/>
      </right>
      <top/>
      <bottom/>
      <diagonal/>
    </border>
  </borders>
  <cellStyleXfs count="147">
    <xf numFmtId="0" fontId="0" fillId="0" borderId="0"/>
    <xf numFmtId="44" fontId="1" fillId="0" borderId="0" applyFont="0" applyFill="0" applyBorder="0" applyAlignment="0" applyProtection="0"/>
    <xf numFmtId="0" fontId="4" fillId="0" borderId="0"/>
    <xf numFmtId="165" fontId="5" fillId="0" borderId="0" applyFont="0" applyFill="0" applyBorder="0" applyAlignment="0" applyProtection="0"/>
    <xf numFmtId="41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1" fillId="0" borderId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9" fillId="0" borderId="0"/>
    <xf numFmtId="0" fontId="11" fillId="0" borderId="0"/>
    <xf numFmtId="0" fontId="4" fillId="0" borderId="0"/>
    <xf numFmtId="166" fontId="1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166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9" fillId="0" borderId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0" fillId="0" borderId="0" xfId="0" applyAlignment="1">
      <alignment vertical="center"/>
    </xf>
    <xf numFmtId="0" fontId="6" fillId="2" borderId="3" xfId="7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167" fontId="10" fillId="0" borderId="10" xfId="12" applyNumberFormat="1" applyFont="1" applyFill="1" applyBorder="1" applyAlignment="1">
      <alignment horizontal="center" vertical="center" wrapText="1"/>
    </xf>
    <xf numFmtId="166" fontId="10" fillId="0" borderId="8" xfId="12" applyFont="1" applyFill="1" applyBorder="1" applyAlignment="1">
      <alignment horizontal="center" vertical="center" wrapText="1"/>
    </xf>
    <xf numFmtId="167" fontId="10" fillId="0" borderId="9" xfId="12" applyNumberFormat="1" applyFont="1" applyFill="1" applyBorder="1" applyAlignment="1">
      <alignment horizontal="center" vertical="center" wrapText="1"/>
    </xf>
    <xf numFmtId="3" fontId="10" fillId="5" borderId="9" xfId="12" applyNumberFormat="1" applyFont="1" applyFill="1" applyBorder="1" applyAlignment="1">
      <alignment horizontal="center" vertical="center" wrapText="1"/>
    </xf>
    <xf numFmtId="0" fontId="10" fillId="0" borderId="10" xfId="13" applyFont="1" applyBorder="1" applyAlignment="1">
      <alignment horizontal="center" vertical="center" wrapText="1"/>
    </xf>
    <xf numFmtId="44" fontId="0" fillId="0" borderId="0" xfId="1" applyFont="1"/>
    <xf numFmtId="167" fontId="10" fillId="0" borderId="9" xfId="12" applyNumberFormat="1" applyFont="1" applyFill="1" applyBorder="1" applyAlignment="1">
      <alignment horizontal="center" vertical="center" wrapText="1"/>
    </xf>
    <xf numFmtId="0" fontId="0" fillId="0" borderId="0" xfId="0"/>
    <xf numFmtId="49" fontId="13" fillId="8" borderId="7" xfId="23" applyNumberFormat="1" applyFont="1" applyFill="1" applyBorder="1" applyAlignment="1">
      <alignment horizontal="left" vertical="center" wrapText="1"/>
    </xf>
    <xf numFmtId="49" fontId="13" fillId="8" borderId="5" xfId="23" applyNumberFormat="1" applyFont="1" applyFill="1" applyBorder="1" applyAlignment="1">
      <alignment horizontal="left" vertical="center" wrapText="1"/>
    </xf>
    <xf numFmtId="49" fontId="13" fillId="8" borderId="6" xfId="23" applyNumberFormat="1" applyFont="1" applyFill="1" applyBorder="1" applyAlignment="1">
      <alignment horizontal="left" vertical="center" wrapText="1"/>
    </xf>
    <xf numFmtId="0" fontId="0" fillId="0" borderId="0" xfId="0"/>
    <xf numFmtId="0" fontId="0" fillId="0" borderId="0" xfId="0" applyBorder="1"/>
    <xf numFmtId="0" fontId="0" fillId="0" borderId="0" xfId="0"/>
    <xf numFmtId="49" fontId="13" fillId="8" borderId="4" xfId="23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/>
    </xf>
    <xf numFmtId="0" fontId="10" fillId="0" borderId="10" xfId="13" applyFont="1" applyBorder="1" applyAlignment="1">
      <alignment horizontal="left" vertical="center" wrapText="1"/>
    </xf>
    <xf numFmtId="0" fontId="0" fillId="6" borderId="16" xfId="0" applyFill="1" applyBorder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0" fillId="6" borderId="13" xfId="0" applyFill="1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6" borderId="14" xfId="0" applyFill="1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6" borderId="15" xfId="0" applyFill="1" applyBorder="1" applyAlignment="1">
      <alignment horizontal="left" vertical="center"/>
    </xf>
    <xf numFmtId="0" fontId="0" fillId="6" borderId="18" xfId="0" applyFill="1" applyBorder="1" applyAlignment="1">
      <alignment horizontal="left" vertical="center"/>
    </xf>
    <xf numFmtId="0" fontId="0" fillId="6" borderId="17" xfId="0" applyFill="1" applyBorder="1" applyAlignment="1">
      <alignment horizontal="left" vertical="center"/>
    </xf>
    <xf numFmtId="0" fontId="0" fillId="6" borderId="12" xfId="0" applyFill="1" applyBorder="1" applyAlignment="1">
      <alignment horizontal="left" vertic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1" applyFont="1" applyAlignment="1">
      <alignment wrapText="1"/>
    </xf>
    <xf numFmtId="0" fontId="3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1" fontId="8" fillId="10" borderId="0" xfId="13" applyNumberFormat="1" applyFont="1" applyFill="1" applyBorder="1" applyAlignment="1">
      <alignment horizontal="left" vertical="center"/>
    </xf>
    <xf numFmtId="0" fontId="0" fillId="10" borderId="0" xfId="0" applyFill="1"/>
    <xf numFmtId="0" fontId="0" fillId="10" borderId="0" xfId="0" applyFill="1" applyAlignment="1">
      <alignment horizontal="left"/>
    </xf>
    <xf numFmtId="1" fontId="8" fillId="7" borderId="25" xfId="13" applyNumberFormat="1" applyFont="1" applyFill="1" applyBorder="1" applyAlignment="1">
      <alignment horizontal="left" vertical="center"/>
    </xf>
    <xf numFmtId="1" fontId="8" fillId="7" borderId="26" xfId="13" applyNumberFormat="1" applyFont="1" applyFill="1" applyBorder="1" applyAlignment="1">
      <alignment horizontal="left" vertical="center"/>
    </xf>
    <xf numFmtId="44" fontId="0" fillId="10" borderId="0" xfId="0" applyNumberFormat="1" applyFill="1"/>
    <xf numFmtId="44" fontId="0" fillId="0" borderId="0" xfId="0" applyNumberFormat="1"/>
    <xf numFmtId="168" fontId="17" fillId="4" borderId="19" xfId="23" applyNumberFormat="1" applyFont="1" applyFill="1" applyBorder="1" applyAlignment="1">
      <alignment horizontal="center" vertical="center" wrapText="1"/>
    </xf>
    <xf numFmtId="168" fontId="17" fillId="4" borderId="20" xfId="23" applyNumberFormat="1" applyFont="1" applyFill="1" applyBorder="1" applyAlignment="1">
      <alignment horizontal="center" vertical="center" wrapText="1"/>
    </xf>
    <xf numFmtId="168" fontId="17" fillId="4" borderId="21" xfId="23" applyNumberFormat="1" applyFont="1" applyFill="1" applyBorder="1" applyAlignment="1">
      <alignment horizontal="center" vertical="center" wrapText="1"/>
    </xf>
    <xf numFmtId="168" fontId="17" fillId="4" borderId="22" xfId="23" applyNumberFormat="1" applyFont="1" applyFill="1" applyBorder="1" applyAlignment="1">
      <alignment horizontal="center" vertical="center" wrapText="1"/>
    </xf>
    <xf numFmtId="168" fontId="17" fillId="4" borderId="23" xfId="23" applyNumberFormat="1" applyFont="1" applyFill="1" applyBorder="1" applyAlignment="1">
      <alignment horizontal="center" vertical="center" wrapText="1"/>
    </xf>
    <xf numFmtId="168" fontId="17" fillId="4" borderId="24" xfId="23" applyNumberFormat="1" applyFont="1" applyFill="1" applyBorder="1" applyAlignment="1">
      <alignment horizontal="center" vertical="center" wrapText="1"/>
    </xf>
    <xf numFmtId="44" fontId="17" fillId="9" borderId="22" xfId="25" applyFont="1" applyFill="1" applyBorder="1" applyAlignment="1">
      <alignment horizontal="left" vertical="center" wrapText="1"/>
    </xf>
    <xf numFmtId="44" fontId="17" fillId="9" borderId="24" xfId="25" applyFont="1" applyFill="1" applyBorder="1" applyAlignment="1">
      <alignment horizontal="left" vertical="center" wrapText="1"/>
    </xf>
    <xf numFmtId="44" fontId="17" fillId="9" borderId="21" xfId="25" applyFont="1" applyFill="1" applyBorder="1" applyAlignment="1">
      <alignment horizontal="left" vertical="center" wrapText="1"/>
    </xf>
    <xf numFmtId="44" fontId="17" fillId="9" borderId="24" xfId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21" xfId="0" applyBorder="1"/>
    <xf numFmtId="0" fontId="0" fillId="0" borderId="21" xfId="0" applyBorder="1" applyAlignment="1">
      <alignment horizontal="center" vertical="center"/>
    </xf>
    <xf numFmtId="44" fontId="0" fillId="8" borderId="21" xfId="1" applyFont="1" applyFill="1" applyBorder="1"/>
    <xf numFmtId="44" fontId="0" fillId="0" borderId="21" xfId="1" applyFont="1" applyBorder="1"/>
    <xf numFmtId="44" fontId="10" fillId="0" borderId="21" xfId="1" applyFont="1" applyFill="1" applyBorder="1" applyAlignment="1">
      <alignment horizontal="center" vertical="center" wrapText="1"/>
    </xf>
    <xf numFmtId="0" fontId="0" fillId="0" borderId="31" xfId="0" applyBorder="1"/>
    <xf numFmtId="0" fontId="0" fillId="0" borderId="31" xfId="0" applyBorder="1" applyAlignment="1">
      <alignment horizontal="center" vertical="center"/>
    </xf>
    <xf numFmtId="44" fontId="0" fillId="8" borderId="32" xfId="0" applyNumberFormat="1" applyFill="1" applyBorder="1" applyAlignment="1">
      <alignment vertical="center"/>
    </xf>
    <xf numFmtId="44" fontId="0" fillId="0" borderId="31" xfId="1" applyFont="1" applyBorder="1"/>
    <xf numFmtId="0" fontId="0" fillId="0" borderId="33" xfId="0" applyBorder="1"/>
    <xf numFmtId="0" fontId="0" fillId="0" borderId="25" xfId="0" applyBorder="1"/>
    <xf numFmtId="0" fontId="0" fillId="0" borderId="25" xfId="0" applyBorder="1" applyAlignment="1">
      <alignment horizontal="center" vertical="center"/>
    </xf>
    <xf numFmtId="44" fontId="0" fillId="8" borderId="25" xfId="0" applyNumberFormat="1" applyFill="1" applyBorder="1" applyAlignment="1">
      <alignment vertical="center"/>
    </xf>
    <xf numFmtId="44" fontId="0" fillId="0" borderId="25" xfId="1" applyFont="1" applyBorder="1"/>
    <xf numFmtId="44" fontId="0" fillId="8" borderId="25" xfId="1" applyFont="1" applyFill="1" applyBorder="1"/>
    <xf numFmtId="44" fontId="0" fillId="11" borderId="25" xfId="1" applyFont="1" applyFill="1" applyBorder="1"/>
    <xf numFmtId="0" fontId="0" fillId="10" borderId="4" xfId="0" applyFill="1" applyBorder="1"/>
    <xf numFmtId="0" fontId="0" fillId="10" borderId="21" xfId="0" applyFill="1" applyBorder="1"/>
    <xf numFmtId="0" fontId="0" fillId="10" borderId="21" xfId="0" applyFill="1" applyBorder="1" applyAlignment="1">
      <alignment horizontal="center" vertical="center"/>
    </xf>
    <xf numFmtId="44" fontId="0" fillId="10" borderId="21" xfId="1" applyFont="1" applyFill="1" applyBorder="1"/>
    <xf numFmtId="0" fontId="0" fillId="0" borderId="22" xfId="0" applyBorder="1"/>
    <xf numFmtId="44" fontId="0" fillId="0" borderId="22" xfId="1" applyFont="1" applyBorder="1"/>
    <xf numFmtId="0" fontId="0" fillId="0" borderId="21" xfId="0" applyBorder="1" applyAlignment="1">
      <alignment horizontal="center" vertical="center"/>
    </xf>
    <xf numFmtId="0" fontId="0" fillId="0" borderId="20" xfId="0" applyBorder="1"/>
    <xf numFmtId="0" fontId="0" fillId="0" borderId="20" xfId="0" applyBorder="1" applyAlignment="1">
      <alignment horizontal="center" vertical="center"/>
    </xf>
    <xf numFmtId="44" fontId="0" fillId="0" borderId="20" xfId="1" applyFont="1" applyBorder="1"/>
    <xf numFmtId="44" fontId="0" fillId="0" borderId="24" xfId="1" applyFont="1" applyBorder="1"/>
    <xf numFmtId="44" fontId="0" fillId="0" borderId="21" xfId="1" applyFont="1" applyBorder="1" applyAlignment="1">
      <alignment vertical="center"/>
    </xf>
    <xf numFmtId="44" fontId="1" fillId="0" borderId="21" xfId="1" applyFont="1" applyBorder="1"/>
    <xf numFmtId="168" fontId="0" fillId="0" borderId="20" xfId="0" applyNumberFormat="1" applyFont="1" applyBorder="1"/>
    <xf numFmtId="8" fontId="1" fillId="0" borderId="24" xfId="1" applyNumberFormat="1" applyFont="1" applyBorder="1"/>
    <xf numFmtId="0" fontId="2" fillId="8" borderId="7" xfId="0" applyFont="1" applyFill="1" applyBorder="1" applyAlignment="1">
      <alignment wrapText="1"/>
    </xf>
    <xf numFmtId="44" fontId="1" fillId="0" borderId="22" xfId="1" applyFont="1" applyBorder="1"/>
    <xf numFmtId="0" fontId="2" fillId="8" borderId="4" xfId="0" applyFont="1" applyFill="1" applyBorder="1"/>
    <xf numFmtId="8" fontId="1" fillId="0" borderId="21" xfId="1" applyNumberFormat="1" applyFont="1" applyBorder="1"/>
    <xf numFmtId="0" fontId="2" fillId="8" borderId="6" xfId="0" applyFont="1" applyFill="1" applyBorder="1"/>
    <xf numFmtId="0" fontId="0" fillId="0" borderId="24" xfId="0" applyBorder="1"/>
    <xf numFmtId="49" fontId="13" fillId="10" borderId="4" xfId="23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168" fontId="0" fillId="0" borderId="21" xfId="0" applyNumberFormat="1" applyBorder="1"/>
    <xf numFmtId="168" fontId="17" fillId="4" borderId="34" xfId="23" applyNumberFormat="1" applyFont="1" applyFill="1" applyBorder="1" applyAlignment="1">
      <alignment horizontal="center" vertical="center" wrapText="1"/>
    </xf>
    <xf numFmtId="8" fontId="18" fillId="0" borderId="37" xfId="1" applyNumberFormat="1" applyFont="1" applyBorder="1"/>
    <xf numFmtId="44" fontId="1" fillId="0" borderId="20" xfId="1" applyFont="1" applyBorder="1" applyAlignment="1"/>
    <xf numFmtId="44" fontId="17" fillId="4" borderId="34" xfId="1" applyFont="1" applyFill="1" applyBorder="1" applyAlignment="1">
      <alignment horizontal="center" vertical="center" wrapText="1"/>
    </xf>
    <xf numFmtId="44" fontId="1" fillId="0" borderId="35" xfId="1" applyFont="1" applyBorder="1"/>
    <xf numFmtId="44" fontId="17" fillId="4" borderId="35" xfId="1" applyFont="1" applyFill="1" applyBorder="1" applyAlignment="1">
      <alignment horizontal="center" vertical="center" wrapText="1"/>
    </xf>
    <xf numFmtId="0" fontId="0" fillId="12" borderId="0" xfId="0" applyFill="1" applyAlignment="1">
      <alignment horizontal="left"/>
    </xf>
    <xf numFmtId="0" fontId="0" fillId="12" borderId="0" xfId="0" applyFill="1"/>
    <xf numFmtId="0" fontId="0" fillId="12" borderId="0" xfId="0" applyFill="1" applyAlignment="1">
      <alignment horizontal="center" vertical="center"/>
    </xf>
    <xf numFmtId="44" fontId="0" fillId="12" borderId="0" xfId="0" applyNumberFormat="1" applyFill="1"/>
    <xf numFmtId="0" fontId="0" fillId="0" borderId="27" xfId="0" applyBorder="1"/>
    <xf numFmtId="0" fontId="22" fillId="0" borderId="0" xfId="0" applyFont="1" applyBorder="1" applyAlignment="1">
      <alignment horizontal="center" vertical="center"/>
    </xf>
    <xf numFmtId="0" fontId="6" fillId="0" borderId="0" xfId="7" applyFont="1" applyFill="1" applyBorder="1" applyAlignment="1">
      <alignment horizontal="center" vertical="center"/>
    </xf>
    <xf numFmtId="0" fontId="14" fillId="0" borderId="0" xfId="0" applyFont="1" applyAlignment="1"/>
    <xf numFmtId="0" fontId="2" fillId="0" borderId="44" xfId="0" applyFont="1" applyBorder="1" applyAlignment="1">
      <alignment horizontal="center"/>
    </xf>
    <xf numFmtId="0" fontId="0" fillId="0" borderId="44" xfId="0" applyBorder="1" applyAlignment="1">
      <alignment horizontal="center"/>
    </xf>
    <xf numFmtId="0" fontId="0" fillId="13" borderId="44" xfId="0" applyFill="1" applyBorder="1" applyAlignment="1">
      <alignment horizontal="center"/>
    </xf>
    <xf numFmtId="0" fontId="0" fillId="0" borderId="44" xfId="0" applyBorder="1" applyAlignment="1">
      <alignment horizontal="left" vertical="center"/>
    </xf>
    <xf numFmtId="0" fontId="19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170" fontId="0" fillId="4" borderId="3" xfId="0" applyNumberFormat="1" applyFill="1" applyBorder="1"/>
    <xf numFmtId="170" fontId="0" fillId="13" borderId="3" xfId="0" applyNumberFormat="1" applyFill="1" applyBorder="1"/>
    <xf numFmtId="0" fontId="0" fillId="0" borderId="3" xfId="0" applyBorder="1" applyAlignment="1">
      <alignment horizontal="left" vertical="center"/>
    </xf>
    <xf numFmtId="0" fontId="0" fillId="0" borderId="44" xfId="0" applyFill="1" applyBorder="1" applyAlignment="1">
      <alignment horizontal="center"/>
    </xf>
    <xf numFmtId="170" fontId="0" fillId="0" borderId="3" xfId="0" applyNumberFormat="1" applyFill="1" applyBorder="1" applyAlignment="1">
      <alignment horizontal="right"/>
    </xf>
    <xf numFmtId="170" fontId="24" fillId="0" borderId="3" xfId="0" applyNumberFormat="1" applyFont="1" applyFill="1" applyBorder="1" applyAlignment="1">
      <alignment horizontal="right"/>
    </xf>
    <xf numFmtId="0" fontId="24" fillId="0" borderId="44" xfId="0" applyFont="1" applyFill="1" applyBorder="1" applyAlignment="1">
      <alignment horizontal="center"/>
    </xf>
    <xf numFmtId="0" fontId="0" fillId="16" borderId="44" xfId="0" applyFill="1" applyBorder="1" applyAlignment="1">
      <alignment horizontal="center"/>
    </xf>
    <xf numFmtId="170" fontId="0" fillId="16" borderId="3" xfId="0" applyNumberFormat="1" applyFill="1" applyBorder="1" applyAlignment="1">
      <alignment horizontal="right"/>
    </xf>
    <xf numFmtId="0" fontId="0" fillId="15" borderId="44" xfId="0" applyFill="1" applyBorder="1" applyAlignment="1">
      <alignment horizontal="center"/>
    </xf>
    <xf numFmtId="170" fontId="0" fillId="15" borderId="3" xfId="0" applyNumberFormat="1" applyFill="1" applyBorder="1" applyAlignment="1">
      <alignment horizontal="right"/>
    </xf>
    <xf numFmtId="0" fontId="6" fillId="2" borderId="45" xfId="7" applyFont="1" applyFill="1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171" fontId="0" fillId="4" borderId="3" xfId="0" applyNumberFormat="1" applyFill="1" applyBorder="1"/>
    <xf numFmtId="171" fontId="0" fillId="0" borderId="3" xfId="0" applyNumberFormat="1" applyFill="1" applyBorder="1" applyAlignment="1">
      <alignment horizontal="right"/>
    </xf>
    <xf numFmtId="171" fontId="21" fillId="0" borderId="3" xfId="0" applyNumberFormat="1" applyFont="1" applyBorder="1" applyAlignment="1">
      <alignment horizontal="center"/>
    </xf>
    <xf numFmtId="171" fontId="21" fillId="14" borderId="3" xfId="0" applyNumberFormat="1" applyFont="1" applyFill="1" applyBorder="1" applyAlignment="1">
      <alignment horizontal="center"/>
    </xf>
    <xf numFmtId="171" fontId="0" fillId="0" borderId="3" xfId="0" applyNumberFormat="1" applyFill="1" applyBorder="1" applyAlignment="1">
      <alignment vertical="center"/>
    </xf>
    <xf numFmtId="171" fontId="0" fillId="13" borderId="3" xfId="0" applyNumberFormat="1" applyFill="1" applyBorder="1"/>
    <xf numFmtId="171" fontId="0" fillId="0" borderId="3" xfId="0" applyNumberFormat="1" applyFill="1" applyBorder="1" applyAlignment="1">
      <alignment horizontal="right" vertical="center"/>
    </xf>
    <xf numFmtId="171" fontId="20" fillId="4" borderId="3" xfId="0" applyNumberFormat="1" applyFont="1" applyFill="1" applyBorder="1"/>
    <xf numFmtId="171" fontId="21" fillId="13" borderId="3" xfId="0" applyNumberFormat="1" applyFont="1" applyFill="1" applyBorder="1" applyAlignment="1">
      <alignment horizontal="center"/>
    </xf>
    <xf numFmtId="171" fontId="0" fillId="11" borderId="3" xfId="0" applyNumberFormat="1" applyFill="1" applyBorder="1" applyAlignment="1">
      <alignment horizontal="right"/>
    </xf>
    <xf numFmtId="171" fontId="0" fillId="0" borderId="3" xfId="0" applyNumberFormat="1" applyBorder="1"/>
    <xf numFmtId="171" fontId="0" fillId="13" borderId="3" xfId="0" applyNumberFormat="1" applyFill="1" applyBorder="1" applyAlignment="1">
      <alignment horizontal="right"/>
    </xf>
    <xf numFmtId="171" fontId="16" fillId="13" borderId="3" xfId="0" applyNumberFormat="1" applyFont="1" applyFill="1" applyBorder="1" applyAlignment="1">
      <alignment horizontal="center" vertical="center"/>
    </xf>
    <xf numFmtId="171" fontId="0" fillId="15" borderId="3" xfId="0" applyNumberFormat="1" applyFill="1" applyBorder="1" applyAlignment="1">
      <alignment horizontal="right"/>
    </xf>
    <xf numFmtId="171" fontId="16" fillId="15" borderId="3" xfId="0" applyNumberFormat="1" applyFont="1" applyFill="1" applyBorder="1" applyAlignment="1">
      <alignment horizontal="center" vertical="center"/>
    </xf>
    <xf numFmtId="171" fontId="21" fillId="15" borderId="3" xfId="0" applyNumberFormat="1" applyFont="1" applyFill="1" applyBorder="1" applyAlignment="1">
      <alignment horizontal="center"/>
    </xf>
    <xf numFmtId="171" fontId="24" fillId="0" borderId="3" xfId="0" applyNumberFormat="1" applyFont="1" applyFill="1" applyBorder="1" applyAlignment="1">
      <alignment horizontal="right"/>
    </xf>
    <xf numFmtId="171" fontId="16" fillId="0" borderId="3" xfId="0" applyNumberFormat="1" applyFont="1" applyFill="1" applyBorder="1" applyAlignment="1">
      <alignment horizontal="center" vertical="center"/>
    </xf>
    <xf numFmtId="171" fontId="16" fillId="14" borderId="3" xfId="0" applyNumberFormat="1" applyFont="1" applyFill="1" applyBorder="1" applyAlignment="1">
      <alignment horizontal="center" vertical="center"/>
    </xf>
    <xf numFmtId="171" fontId="0" fillId="0" borderId="3" xfId="0" applyNumberFormat="1" applyBorder="1" applyAlignment="1">
      <alignment horizontal="right"/>
    </xf>
    <xf numFmtId="44" fontId="20" fillId="11" borderId="25" xfId="1" applyFont="1" applyFill="1" applyBorder="1"/>
    <xf numFmtId="44" fontId="20" fillId="11" borderId="25" xfId="0" applyNumberFormat="1" applyFont="1" applyFill="1" applyBorder="1" applyAlignment="1">
      <alignment vertical="center"/>
    </xf>
    <xf numFmtId="0" fontId="0" fillId="0" borderId="4" xfId="0" applyFill="1" applyBorder="1"/>
    <xf numFmtId="0" fontId="0" fillId="0" borderId="30" xfId="0" applyFill="1" applyBorder="1"/>
    <xf numFmtId="0" fontId="0" fillId="0" borderId="33" xfId="0" applyFill="1" applyBorder="1"/>
    <xf numFmtId="0" fontId="12" fillId="0" borderId="33" xfId="13" applyFont="1" applyFill="1" applyBorder="1" applyAlignment="1">
      <alignment horizontal="left" vertical="center" wrapText="1"/>
    </xf>
    <xf numFmtId="171" fontId="23" fillId="0" borderId="3" xfId="0" applyNumberFormat="1" applyFont="1" applyFill="1" applyBorder="1" applyAlignment="1">
      <alignment horizontal="right"/>
    </xf>
    <xf numFmtId="0" fontId="0" fillId="0" borderId="39" xfId="0" applyFill="1" applyBorder="1" applyAlignment="1">
      <alignment horizontal="center" vertical="center"/>
    </xf>
    <xf numFmtId="171" fontId="0" fillId="0" borderId="3" xfId="0" applyNumberFormat="1" applyFill="1" applyBorder="1"/>
    <xf numFmtId="44" fontId="0" fillId="0" borderId="3" xfId="0" applyNumberFormat="1" applyBorder="1" applyAlignment="1">
      <alignment horizontal="center"/>
    </xf>
    <xf numFmtId="171" fontId="0" fillId="0" borderId="0" xfId="0" applyNumberFormat="1"/>
    <xf numFmtId="0" fontId="6" fillId="17" borderId="3" xfId="7" applyFont="1" applyFill="1" applyBorder="1" applyAlignment="1">
      <alignment horizontal="center" vertical="center"/>
    </xf>
    <xf numFmtId="0" fontId="6" fillId="17" borderId="45" xfId="7" applyFont="1" applyFill="1" applyBorder="1" applyAlignment="1">
      <alignment horizontal="center" vertical="center"/>
    </xf>
    <xf numFmtId="44" fontId="0" fillId="0" borderId="21" xfId="1" applyFont="1" applyFill="1" applyBorder="1"/>
    <xf numFmtId="44" fontId="0" fillId="0" borderId="24" xfId="1" applyFont="1" applyFill="1" applyBorder="1"/>
    <xf numFmtId="44" fontId="1" fillId="0" borderId="24" xfId="1" applyFont="1" applyBorder="1"/>
    <xf numFmtId="44" fontId="0" fillId="0" borderId="22" xfId="1" applyFont="1" applyFill="1" applyBorder="1"/>
    <xf numFmtId="8" fontId="18" fillId="0" borderId="21" xfId="1" applyNumberFormat="1" applyFont="1" applyBorder="1"/>
    <xf numFmtId="0" fontId="0" fillId="0" borderId="21" xfId="0" applyBorder="1" applyAlignment="1">
      <alignment vertical="center"/>
    </xf>
    <xf numFmtId="44" fontId="0" fillId="18" borderId="34" xfId="1" applyFont="1" applyFill="1" applyBorder="1"/>
    <xf numFmtId="44" fontId="0" fillId="18" borderId="46" xfId="1" applyFont="1" applyFill="1" applyBorder="1"/>
    <xf numFmtId="44" fontId="0" fillId="18" borderId="35" xfId="1" applyFont="1" applyFill="1" applyBorder="1"/>
    <xf numFmtId="44" fontId="0" fillId="18" borderId="38" xfId="1" applyFont="1" applyFill="1" applyBorder="1"/>
    <xf numFmtId="44" fontId="0" fillId="19" borderId="35" xfId="1" applyFont="1" applyFill="1" applyBorder="1"/>
    <xf numFmtId="44" fontId="0" fillId="19" borderId="36" xfId="1" applyFont="1" applyFill="1" applyBorder="1"/>
    <xf numFmtId="44" fontId="0" fillId="19" borderId="34" xfId="1" applyFont="1" applyFill="1" applyBorder="1"/>
    <xf numFmtId="44" fontId="0" fillId="19" borderId="35" xfId="1" applyFont="1" applyFill="1" applyBorder="1" applyAlignment="1">
      <alignment vertical="center"/>
    </xf>
    <xf numFmtId="44" fontId="0" fillId="19" borderId="20" xfId="1" applyFont="1" applyFill="1" applyBorder="1"/>
    <xf numFmtId="0" fontId="0" fillId="19" borderId="20" xfId="0" applyFill="1" applyBorder="1"/>
    <xf numFmtId="44" fontId="0" fillId="19" borderId="22" xfId="1" applyFont="1" applyFill="1" applyBorder="1"/>
    <xf numFmtId="172" fontId="0" fillId="19" borderId="20" xfId="0" applyNumberFormat="1" applyFill="1" applyBorder="1"/>
    <xf numFmtId="44" fontId="0" fillId="19" borderId="46" xfId="1" applyFont="1" applyFill="1" applyBorder="1"/>
    <xf numFmtId="44" fontId="0" fillId="18" borderId="36" xfId="1" applyFont="1" applyFill="1" applyBorder="1"/>
    <xf numFmtId="44" fontId="0" fillId="19" borderId="21" xfId="1" applyFont="1" applyFill="1" applyBorder="1"/>
    <xf numFmtId="44" fontId="0" fillId="18" borderId="20" xfId="1" applyFont="1" applyFill="1" applyBorder="1"/>
    <xf numFmtId="8" fontId="0" fillId="18" borderId="35" xfId="1" applyNumberFormat="1" applyFont="1" applyFill="1" applyBorder="1"/>
    <xf numFmtId="44" fontId="0" fillId="18" borderId="25" xfId="1" applyFont="1" applyFill="1" applyBorder="1"/>
    <xf numFmtId="44" fontId="1" fillId="0" borderId="20" xfId="1" applyFont="1" applyFill="1" applyBorder="1" applyAlignment="1"/>
    <xf numFmtId="44" fontId="1" fillId="0" borderId="21" xfId="1" applyFont="1" applyFill="1" applyBorder="1"/>
    <xf numFmtId="168" fontId="0" fillId="0" borderId="20" xfId="0" applyNumberFormat="1" applyFont="1" applyFill="1" applyBorder="1"/>
    <xf numFmtId="0" fontId="0" fillId="0" borderId="21" xfId="0" applyBorder="1" applyAlignment="1">
      <alignment horizontal="center" vertical="center"/>
    </xf>
    <xf numFmtId="0" fontId="14" fillId="0" borderId="0" xfId="0" applyFont="1" applyAlignment="1">
      <alignment horizontal="center"/>
    </xf>
    <xf numFmtId="3" fontId="0" fillId="0" borderId="0" xfId="0" applyNumberFormat="1"/>
    <xf numFmtId="170" fontId="0" fillId="0" borderId="0" xfId="0" applyNumberFormat="1"/>
    <xf numFmtId="170" fontId="25" fillId="16" borderId="3" xfId="0" applyNumberFormat="1" applyFont="1" applyFill="1" applyBorder="1" applyAlignment="1">
      <alignment horizontal="right"/>
    </xf>
    <xf numFmtId="0" fontId="0" fillId="20" borderId="39" xfId="0" applyFill="1" applyBorder="1" applyAlignment="1">
      <alignment horizontal="center" vertical="center"/>
    </xf>
    <xf numFmtId="170" fontId="23" fillId="16" borderId="3" xfId="0" applyNumberFormat="1" applyFont="1" applyFill="1" applyBorder="1" applyAlignment="1">
      <alignment horizontal="right"/>
    </xf>
    <xf numFmtId="2" fontId="0" fillId="0" borderId="0" xfId="0" applyNumberFormat="1"/>
    <xf numFmtId="10" fontId="0" fillId="0" borderId="0" xfId="146" applyNumberFormat="1" applyFont="1"/>
    <xf numFmtId="44" fontId="0" fillId="18" borderId="22" xfId="1" applyFont="1" applyFill="1" applyBorder="1" applyAlignment="1">
      <alignment horizontal="center" vertical="center"/>
    </xf>
    <xf numFmtId="44" fontId="0" fillId="18" borderId="21" xfId="1" applyFont="1" applyFill="1" applyBorder="1" applyAlignment="1">
      <alignment horizontal="center" vertical="center"/>
    </xf>
    <xf numFmtId="44" fontId="0" fillId="18" borderId="24" xfId="1" applyFont="1" applyFill="1" applyBorder="1" applyAlignment="1">
      <alignment horizontal="center" vertical="center"/>
    </xf>
    <xf numFmtId="44" fontId="0" fillId="19" borderId="22" xfId="1" applyFont="1" applyFill="1" applyBorder="1" applyAlignment="1">
      <alignment horizontal="center" vertical="center"/>
    </xf>
    <xf numFmtId="44" fontId="0" fillId="19" borderId="21" xfId="1" applyFont="1" applyFill="1" applyBorder="1" applyAlignment="1">
      <alignment horizontal="center" vertical="center"/>
    </xf>
    <xf numFmtId="44" fontId="0" fillId="19" borderId="24" xfId="1" applyFont="1" applyFill="1" applyBorder="1" applyAlignment="1">
      <alignment horizontal="center" vertical="center"/>
    </xf>
    <xf numFmtId="44" fontId="0" fillId="19" borderId="22" xfId="0" applyNumberFormat="1" applyFill="1" applyBorder="1" applyAlignment="1">
      <alignment horizontal="center" vertical="center"/>
    </xf>
    <xf numFmtId="44" fontId="0" fillId="19" borderId="24" xfId="0" applyNumberFormat="1" applyFill="1" applyBorder="1" applyAlignment="1">
      <alignment horizontal="center" vertical="center"/>
    </xf>
    <xf numFmtId="172" fontId="0" fillId="19" borderId="22" xfId="0" applyNumberFormat="1" applyFill="1" applyBorder="1" applyAlignment="1">
      <alignment horizontal="center" vertical="center"/>
    </xf>
    <xf numFmtId="172" fontId="0" fillId="19" borderId="24" xfId="0" applyNumberFormat="1" applyFill="1" applyBorder="1" applyAlignment="1">
      <alignment horizontal="center" vertical="center"/>
    </xf>
    <xf numFmtId="168" fontId="0" fillId="0" borderId="22" xfId="0" applyNumberFormat="1" applyFont="1" applyFill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44" fontId="1" fillId="0" borderId="22" xfId="1" applyFont="1" applyFill="1" applyBorder="1" applyAlignment="1">
      <alignment horizontal="center" vertical="center"/>
    </xf>
    <xf numFmtId="44" fontId="1" fillId="0" borderId="21" xfId="1" applyFont="1" applyFill="1" applyBorder="1" applyAlignment="1">
      <alignment horizontal="center" vertical="center"/>
    </xf>
    <xf numFmtId="44" fontId="1" fillId="0" borderId="24" xfId="1" applyFont="1" applyFill="1" applyBorder="1" applyAlignment="1">
      <alignment horizontal="center" vertical="center"/>
    </xf>
    <xf numFmtId="44" fontId="0" fillId="0" borderId="22" xfId="0" applyNumberFormat="1" applyFont="1" applyFill="1" applyBorder="1" applyAlignment="1">
      <alignment horizontal="center" vertical="center"/>
    </xf>
    <xf numFmtId="44" fontId="0" fillId="8" borderId="28" xfId="0" applyNumberFormat="1" applyFill="1" applyBorder="1" applyAlignment="1">
      <alignment horizontal="center" vertical="center"/>
    </xf>
    <xf numFmtId="44" fontId="0" fillId="8" borderId="29" xfId="0" applyNumberFormat="1" applyFill="1" applyBorder="1" applyAlignment="1">
      <alignment horizontal="center" vertical="center"/>
    </xf>
    <xf numFmtId="164" fontId="7" fillId="3" borderId="2" xfId="7" applyNumberFormat="1" applyFont="1" applyFill="1" applyBorder="1" applyAlignment="1">
      <alignment horizontal="center" vertical="center"/>
    </xf>
    <xf numFmtId="164" fontId="7" fillId="3" borderId="1" xfId="7" applyNumberFormat="1" applyFont="1" applyFill="1" applyBorder="1" applyAlignment="1">
      <alignment horizontal="center" vertical="center"/>
    </xf>
    <xf numFmtId="44" fontId="1" fillId="0" borderId="22" xfId="1" applyFont="1" applyBorder="1" applyAlignment="1">
      <alignment horizontal="center" vertical="center"/>
    </xf>
    <xf numFmtId="44" fontId="1" fillId="0" borderId="21" xfId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168" fontId="0" fillId="0" borderId="22" xfId="0" applyNumberFormat="1" applyFont="1" applyBorder="1" applyAlignment="1">
      <alignment horizontal="center" vertical="center"/>
    </xf>
    <xf numFmtId="0" fontId="0" fillId="0" borderId="21" xfId="0" applyFont="1" applyBorder="1" applyAlignment="1">
      <alignment horizontal="center" vertical="center"/>
    </xf>
    <xf numFmtId="0" fontId="0" fillId="0" borderId="24" xfId="0" applyFont="1" applyBorder="1" applyAlignment="1">
      <alignment horizontal="center" vertical="center"/>
    </xf>
    <xf numFmtId="44" fontId="0" fillId="0" borderId="22" xfId="1" applyFont="1" applyBorder="1" applyAlignment="1">
      <alignment horizontal="center" vertical="center"/>
    </xf>
    <xf numFmtId="44" fontId="0" fillId="0" borderId="21" xfId="1" applyFont="1" applyBorder="1" applyAlignment="1">
      <alignment horizontal="center" vertical="center"/>
    </xf>
    <xf numFmtId="44" fontId="0" fillId="0" borderId="24" xfId="1" applyFont="1" applyBorder="1" applyAlignment="1">
      <alignment horizontal="center" vertical="center"/>
    </xf>
    <xf numFmtId="44" fontId="1" fillId="0" borderId="24" xfId="1" applyFont="1" applyBorder="1" applyAlignment="1">
      <alignment horizontal="center" vertical="center"/>
    </xf>
    <xf numFmtId="44" fontId="0" fillId="0" borderId="22" xfId="0" applyNumberFormat="1" applyFont="1" applyBorder="1" applyAlignment="1">
      <alignment horizontal="center" vertical="center"/>
    </xf>
    <xf numFmtId="44" fontId="0" fillId="0" borderId="21" xfId="0" applyNumberFormat="1" applyFont="1" applyBorder="1" applyAlignment="1">
      <alignment horizontal="center" vertical="center"/>
    </xf>
    <xf numFmtId="168" fontId="0" fillId="0" borderId="21" xfId="0" applyNumberFormat="1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44" fontId="0" fillId="0" borderId="21" xfId="0" applyNumberFormat="1" applyFont="1" applyFill="1" applyBorder="1" applyAlignment="1">
      <alignment horizontal="center" vertical="center"/>
    </xf>
    <xf numFmtId="168" fontId="0" fillId="0" borderId="2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9" fillId="0" borderId="42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9" fillId="0" borderId="41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20" fillId="0" borderId="42" xfId="0" applyFont="1" applyBorder="1" applyAlignment="1">
      <alignment horizontal="center" vertical="center" wrapText="1"/>
    </xf>
    <xf numFmtId="0" fontId="0" fillId="0" borderId="0" xfId="0" applyAlignment="1">
      <alignment horizontal="center" wrapText="1"/>
    </xf>
  </cellXfs>
  <cellStyles count="147">
    <cellStyle name="Euro" xfId="3"/>
    <cellStyle name="Euro 2" xfId="33"/>
    <cellStyle name="Milliers [0] 2" xfId="4"/>
    <cellStyle name="Milliers 10" xfId="27"/>
    <cellStyle name="Milliers 100" xfId="119"/>
    <cellStyle name="Milliers 101" xfId="120"/>
    <cellStyle name="Milliers 102" xfId="121"/>
    <cellStyle name="Milliers 103" xfId="122"/>
    <cellStyle name="Milliers 104" xfId="123"/>
    <cellStyle name="Milliers 105" xfId="124"/>
    <cellStyle name="Milliers 106" xfId="126"/>
    <cellStyle name="Milliers 107" xfId="127"/>
    <cellStyle name="Milliers 108" xfId="125"/>
    <cellStyle name="Milliers 109" xfId="128"/>
    <cellStyle name="Milliers 11" xfId="28"/>
    <cellStyle name="Milliers 110" xfId="129"/>
    <cellStyle name="Milliers 111" xfId="130"/>
    <cellStyle name="Milliers 112" xfId="131"/>
    <cellStyle name="Milliers 113" xfId="132"/>
    <cellStyle name="Milliers 114" xfId="133"/>
    <cellStyle name="Milliers 115" xfId="134"/>
    <cellStyle name="Milliers 116" xfId="135"/>
    <cellStyle name="Milliers 117" xfId="136"/>
    <cellStyle name="Milliers 118" xfId="137"/>
    <cellStyle name="Milliers 119" xfId="138"/>
    <cellStyle name="Milliers 12" xfId="29"/>
    <cellStyle name="Milliers 120" xfId="139"/>
    <cellStyle name="Milliers 121" xfId="140"/>
    <cellStyle name="Milliers 122" xfId="141"/>
    <cellStyle name="Milliers 123" xfId="142"/>
    <cellStyle name="Milliers 124" xfId="143"/>
    <cellStyle name="Milliers 125" xfId="144"/>
    <cellStyle name="Milliers 126" xfId="145"/>
    <cellStyle name="Milliers 13" xfId="30"/>
    <cellStyle name="Milliers 14" xfId="31"/>
    <cellStyle name="Milliers 15" xfId="32"/>
    <cellStyle name="Milliers 16" xfId="24"/>
    <cellStyle name="Milliers 17" xfId="38"/>
    <cellStyle name="Milliers 18" xfId="39"/>
    <cellStyle name="Milliers 19" xfId="21"/>
    <cellStyle name="Milliers 2" xfId="8"/>
    <cellStyle name="Milliers 2 2" xfId="35"/>
    <cellStyle name="Milliers 20" xfId="41"/>
    <cellStyle name="Milliers 21" xfId="42"/>
    <cellStyle name="Milliers 22" xfId="43"/>
    <cellStyle name="Milliers 23" xfId="44"/>
    <cellStyle name="Milliers 24" xfId="45"/>
    <cellStyle name="Milliers 25" xfId="40"/>
    <cellStyle name="Milliers 26" xfId="37"/>
    <cellStyle name="Milliers 27" xfId="47"/>
    <cellStyle name="Milliers 28" xfId="48"/>
    <cellStyle name="Milliers 29" xfId="49"/>
    <cellStyle name="Milliers 3" xfId="5"/>
    <cellStyle name="Milliers 30" xfId="50"/>
    <cellStyle name="Milliers 31" xfId="51"/>
    <cellStyle name="Milliers 32" xfId="52"/>
    <cellStyle name="Milliers 33" xfId="46"/>
    <cellStyle name="Milliers 34" xfId="53"/>
    <cellStyle name="Milliers 35" xfId="54"/>
    <cellStyle name="Milliers 36" xfId="55"/>
    <cellStyle name="Milliers 37" xfId="56"/>
    <cellStyle name="Milliers 38" xfId="57"/>
    <cellStyle name="Milliers 39" xfId="58"/>
    <cellStyle name="Milliers 4" xfId="12"/>
    <cellStyle name="Milliers 40" xfId="59"/>
    <cellStyle name="Milliers 41" xfId="60"/>
    <cellStyle name="Milliers 42" xfId="61"/>
    <cellStyle name="Milliers 43" xfId="62"/>
    <cellStyle name="Milliers 44" xfId="63"/>
    <cellStyle name="Milliers 45" xfId="65"/>
    <cellStyle name="Milliers 46" xfId="66"/>
    <cellStyle name="Milliers 47" xfId="64"/>
    <cellStyle name="Milliers 48" xfId="69"/>
    <cellStyle name="Milliers 49" xfId="70"/>
    <cellStyle name="Milliers 5" xfId="17"/>
    <cellStyle name="Milliers 5 2" xfId="16"/>
    <cellStyle name="Milliers 50" xfId="71"/>
    <cellStyle name="Milliers 51" xfId="67"/>
    <cellStyle name="Milliers 52" xfId="68"/>
    <cellStyle name="Milliers 53" xfId="72"/>
    <cellStyle name="Milliers 54" xfId="74"/>
    <cellStyle name="Milliers 55" xfId="75"/>
    <cellStyle name="Milliers 56" xfId="76"/>
    <cellStyle name="Milliers 57" xfId="77"/>
    <cellStyle name="Milliers 58" xfId="78"/>
    <cellStyle name="Milliers 59" xfId="79"/>
    <cellStyle name="Milliers 6" xfId="18"/>
    <cellStyle name="Milliers 60" xfId="80"/>
    <cellStyle name="Milliers 61" xfId="82"/>
    <cellStyle name="Milliers 62" xfId="83"/>
    <cellStyle name="Milliers 63" xfId="73"/>
    <cellStyle name="Milliers 64" xfId="86"/>
    <cellStyle name="Milliers 65" xfId="81"/>
    <cellStyle name="Milliers 66" xfId="85"/>
    <cellStyle name="Milliers 67" xfId="87"/>
    <cellStyle name="Milliers 68" xfId="91"/>
    <cellStyle name="Milliers 69" xfId="92"/>
    <cellStyle name="Milliers 7" xfId="19"/>
    <cellStyle name="Milliers 70" xfId="93"/>
    <cellStyle name="Milliers 71" xfId="94"/>
    <cellStyle name="Milliers 72" xfId="95"/>
    <cellStyle name="Milliers 73" xfId="96"/>
    <cellStyle name="Milliers 74" xfId="89"/>
    <cellStyle name="Milliers 75" xfId="88"/>
    <cellStyle name="Milliers 76" xfId="97"/>
    <cellStyle name="Milliers 77" xfId="98"/>
    <cellStyle name="Milliers 78" xfId="99"/>
    <cellStyle name="Milliers 79" xfId="100"/>
    <cellStyle name="Milliers 8" xfId="20"/>
    <cellStyle name="Milliers 80" xfId="101"/>
    <cellStyle name="Milliers 81" xfId="102"/>
    <cellStyle name="Milliers 82" xfId="103"/>
    <cellStyle name="Milliers 83" xfId="104"/>
    <cellStyle name="Milliers 84" xfId="105"/>
    <cellStyle name="Milliers 85" xfId="106"/>
    <cellStyle name="Milliers 86" xfId="107"/>
    <cellStyle name="Milliers 87" xfId="108"/>
    <cellStyle name="Milliers 88" xfId="109"/>
    <cellStyle name="Milliers 89" xfId="110"/>
    <cellStyle name="Milliers 9" xfId="26"/>
    <cellStyle name="Milliers 90" xfId="111"/>
    <cellStyle name="Milliers 91" xfId="112"/>
    <cellStyle name="Milliers 92" xfId="113"/>
    <cellStyle name="Milliers 93" xfId="114"/>
    <cellStyle name="Milliers 94" xfId="115"/>
    <cellStyle name="Milliers 95" xfId="116"/>
    <cellStyle name="Milliers 96" xfId="117"/>
    <cellStyle name="Milliers 97" xfId="118"/>
    <cellStyle name="Milliers 98" xfId="90"/>
    <cellStyle name="Milliers 99" xfId="84"/>
    <cellStyle name="Monétaire" xfId="1" builtinId="4"/>
    <cellStyle name="Monétaire 2" xfId="9"/>
    <cellStyle name="Monétaire 2 2" xfId="25"/>
    <cellStyle name="Monétaire 3" xfId="6"/>
    <cellStyle name="Monétaire 4" xfId="22"/>
    <cellStyle name="Normal" xfId="0" builtinId="0"/>
    <cellStyle name="Normal 2" xfId="7"/>
    <cellStyle name="Normal 2 2" xfId="15"/>
    <cellStyle name="Normal 2 2 2" xfId="23"/>
    <cellStyle name="Normal 2 3" xfId="13"/>
    <cellStyle name="Normal 3" xfId="10"/>
    <cellStyle name="Normal 3 2" xfId="36"/>
    <cellStyle name="Normal 4" xfId="2"/>
    <cellStyle name="Normal 7 2" xfId="14"/>
    <cellStyle name="Pourcentage" xfId="146" builtinId="5"/>
    <cellStyle name="Pourcentage 2" xfId="11"/>
    <cellStyle name="Pourcentage 2 2" xfId="34"/>
  </cellStyles>
  <dxfs count="2">
    <dxf>
      <font>
        <color rgb="FFFF0000"/>
      </font>
    </dxf>
    <dxf>
      <font>
        <color rgb="FF00B050"/>
      </font>
    </dxf>
  </dxfs>
  <tableStyles count="0" defaultTableStyle="TableStyleMedium2" defaultPivotStyle="PivotStyleLight16"/>
  <colors>
    <mruColors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45720</xdr:rowOff>
    </xdr:from>
    <xdr:to>
      <xdr:col>0</xdr:col>
      <xdr:colOff>1790698</xdr:colOff>
      <xdr:row>3</xdr:row>
      <xdr:rowOff>129540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28600"/>
          <a:ext cx="1790698" cy="7162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45720</xdr:rowOff>
    </xdr:from>
    <xdr:to>
      <xdr:col>0</xdr:col>
      <xdr:colOff>1790698</xdr:colOff>
      <xdr:row>3</xdr:row>
      <xdr:rowOff>129540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6220"/>
          <a:ext cx="1790698" cy="7162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0</xdr:rowOff>
    </xdr:from>
    <xdr:to>
      <xdr:col>2</xdr:col>
      <xdr:colOff>1082040</xdr:colOff>
      <xdr:row>3</xdr:row>
      <xdr:rowOff>152400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920" y="182880"/>
          <a:ext cx="2133600" cy="7772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5"/>
  <sheetViews>
    <sheetView zoomScaleNormal="100" workbookViewId="0">
      <pane xSplit="3" ySplit="12" topLeftCell="D13" activePane="bottomRight" state="frozen"/>
      <selection pane="topRight" activeCell="D1" sqref="D1"/>
      <selection pane="bottomLeft" activeCell="A11" sqref="A11"/>
      <selection pane="bottomRight" activeCell="H120" sqref="H120"/>
    </sheetView>
  </sheetViews>
  <sheetFormatPr baseColWidth="10" defaultRowHeight="14.4" x14ac:dyDescent="0.3"/>
  <cols>
    <col min="1" max="1" width="48.33203125" style="20" customWidth="1"/>
    <col min="2" max="2" width="38" customWidth="1"/>
    <col min="3" max="3" width="11.5546875" customWidth="1"/>
    <col min="4" max="4" width="14.109375" style="19" customWidth="1"/>
    <col min="5" max="5" width="15.33203125" customWidth="1"/>
    <col min="6" max="6" width="15.6640625" customWidth="1"/>
    <col min="7" max="7" width="14.109375" bestFit="1" customWidth="1"/>
    <col min="8" max="8" width="15.6640625" style="17" customWidth="1"/>
    <col min="9" max="9" width="14.109375" style="17" bestFit="1" customWidth="1"/>
    <col min="10" max="10" width="15.33203125" customWidth="1"/>
    <col min="11" max="11" width="12.6640625" style="17" bestFit="1" customWidth="1"/>
    <col min="13" max="14" width="11.5546875" style="17"/>
    <col min="15" max="15" width="15" customWidth="1"/>
    <col min="16" max="16" width="15" style="17" customWidth="1"/>
  </cols>
  <sheetData>
    <row r="1" spans="1:25" ht="15" thickBot="1" x14ac:dyDescent="0.35"/>
    <row r="2" spans="1:25" ht="34.950000000000003" customHeight="1" x14ac:dyDescent="0.3">
      <c r="B2" s="35" t="s">
        <v>1</v>
      </c>
      <c r="E2" s="1"/>
      <c r="F2" s="220" t="s">
        <v>2</v>
      </c>
    </row>
    <row r="3" spans="1:25" ht="15" thickBot="1" x14ac:dyDescent="0.35">
      <c r="F3" s="221"/>
    </row>
    <row r="4" spans="1:25" ht="23.4" x14ac:dyDescent="0.45">
      <c r="B4" s="34" t="s">
        <v>0</v>
      </c>
      <c r="C4" s="3"/>
      <c r="D4" s="39"/>
      <c r="E4" s="3"/>
      <c r="F4" s="2" t="s">
        <v>6</v>
      </c>
    </row>
    <row r="5" spans="1:25" hidden="1" x14ac:dyDescent="0.3">
      <c r="F5" s="2" t="s">
        <v>4</v>
      </c>
    </row>
    <row r="6" spans="1:25" ht="15" hidden="1" thickTop="1" x14ac:dyDescent="0.3">
      <c r="B6" s="237" t="s">
        <v>160</v>
      </c>
      <c r="D6" t="s">
        <v>7</v>
      </c>
      <c r="E6" s="19" t="s">
        <v>9</v>
      </c>
      <c r="F6" s="163" t="s">
        <v>6</v>
      </c>
    </row>
    <row r="7" spans="1:25" ht="15" hidden="1" thickBot="1" x14ac:dyDescent="0.35">
      <c r="B7" s="238"/>
      <c r="D7" t="s">
        <v>8</v>
      </c>
      <c r="E7" s="40">
        <v>45650</v>
      </c>
      <c r="F7" s="2" t="s">
        <v>5</v>
      </c>
      <c r="H7" s="47"/>
    </row>
    <row r="8" spans="1:25" hidden="1" x14ac:dyDescent="0.3">
      <c r="F8" s="2" t="s">
        <v>140</v>
      </c>
    </row>
    <row r="9" spans="1:25" s="17" customFormat="1" hidden="1" x14ac:dyDescent="0.3">
      <c r="A9" s="20"/>
      <c r="D9" s="19"/>
      <c r="F9" s="2" t="s">
        <v>163</v>
      </c>
    </row>
    <row r="10" spans="1:25" s="17" customFormat="1" hidden="1" x14ac:dyDescent="0.3">
      <c r="A10" s="20"/>
      <c r="D10" s="37"/>
      <c r="F10" s="111"/>
    </row>
    <row r="11" spans="1:25" x14ac:dyDescent="0.3">
      <c r="A11" s="105"/>
      <c r="B11" s="106" t="s">
        <v>161</v>
      </c>
      <c r="C11" s="106"/>
      <c r="D11" s="107"/>
      <c r="E11" s="108">
        <f>E37+E119</f>
        <v>5615014.166666667</v>
      </c>
      <c r="F11" s="108">
        <f>F37+F118</f>
        <v>5756825.285666666</v>
      </c>
      <c r="G11" s="108">
        <f>G37+G118</f>
        <v>5719530.285666666</v>
      </c>
      <c r="H11" s="46">
        <f>H37+H118</f>
        <v>5863103.7666666666</v>
      </c>
      <c r="I11" s="46">
        <f>I37+I118</f>
        <v>5863105.7666666666</v>
      </c>
      <c r="J11" s="42"/>
      <c r="K11" s="42"/>
    </row>
    <row r="12" spans="1:25" ht="62.4" x14ac:dyDescent="0.3">
      <c r="A12" s="21" t="s">
        <v>32</v>
      </c>
      <c r="B12" s="8" t="s">
        <v>115</v>
      </c>
      <c r="C12" s="8" t="s">
        <v>10</v>
      </c>
      <c r="D12" s="8" t="s">
        <v>11</v>
      </c>
      <c r="E12" s="4" t="s">
        <v>141</v>
      </c>
      <c r="F12" s="6" t="s">
        <v>193</v>
      </c>
      <c r="G12" s="10" t="s">
        <v>146</v>
      </c>
      <c r="H12" s="10" t="s">
        <v>188</v>
      </c>
      <c r="I12" s="10" t="s">
        <v>187</v>
      </c>
      <c r="J12" s="7" t="s">
        <v>135</v>
      </c>
      <c r="K12" s="7" t="s">
        <v>135</v>
      </c>
      <c r="L12" s="10" t="s">
        <v>134</v>
      </c>
      <c r="M12" s="10" t="s">
        <v>136</v>
      </c>
      <c r="N12" s="7" t="s">
        <v>137</v>
      </c>
      <c r="O12" s="6" t="s">
        <v>138</v>
      </c>
      <c r="P12" s="10" t="s">
        <v>139</v>
      </c>
      <c r="Q12" s="5" t="s">
        <v>31</v>
      </c>
    </row>
    <row r="13" spans="1:25" ht="15.6" x14ac:dyDescent="0.3">
      <c r="A13" s="44" t="s">
        <v>12</v>
      </c>
      <c r="B13" s="154" t="s">
        <v>128</v>
      </c>
      <c r="C13" s="59" t="s">
        <v>13</v>
      </c>
      <c r="D13" s="60" t="s">
        <v>124</v>
      </c>
      <c r="E13" s="61">
        <f>85800/1.2</f>
        <v>71500</v>
      </c>
      <c r="F13" s="61">
        <f>85800/1.2</f>
        <v>71500</v>
      </c>
      <c r="G13" s="61">
        <f t="shared" ref="G13" si="0">85800/1.2</f>
        <v>71500</v>
      </c>
      <c r="H13" s="61">
        <f>85800/1.2</f>
        <v>71500</v>
      </c>
      <c r="I13" s="61">
        <f>85800/1.2</f>
        <v>71500</v>
      </c>
      <c r="J13" s="62"/>
      <c r="K13" s="62"/>
      <c r="L13" s="62"/>
      <c r="M13" s="62"/>
      <c r="N13" s="62"/>
      <c r="O13" s="63"/>
      <c r="P13" s="63"/>
      <c r="Q13" s="62"/>
      <c r="R13" s="9"/>
      <c r="S13" s="9"/>
      <c r="T13" s="9"/>
      <c r="U13" s="9"/>
      <c r="V13" s="9"/>
      <c r="W13" s="9"/>
      <c r="X13" s="9"/>
      <c r="Y13" s="9"/>
    </row>
    <row r="14" spans="1:25" ht="15.6" x14ac:dyDescent="0.3">
      <c r="A14" s="44" t="s">
        <v>12</v>
      </c>
      <c r="B14" s="154" t="s">
        <v>25</v>
      </c>
      <c r="C14" s="59" t="s">
        <v>13</v>
      </c>
      <c r="D14" s="60" t="s">
        <v>28</v>
      </c>
      <c r="E14" s="218">
        <v>722000</v>
      </c>
      <c r="F14" s="218">
        <v>722000</v>
      </c>
      <c r="G14" s="218">
        <v>722000</v>
      </c>
      <c r="H14" s="218">
        <v>722000</v>
      </c>
      <c r="I14" s="218">
        <v>722000</v>
      </c>
      <c r="J14" s="62"/>
      <c r="K14" s="62"/>
      <c r="L14" s="62"/>
      <c r="M14" s="62"/>
      <c r="N14" s="62"/>
      <c r="O14" s="63"/>
      <c r="P14" s="63"/>
      <c r="Q14" s="62"/>
      <c r="R14" s="9"/>
      <c r="S14" s="9"/>
      <c r="T14" s="9"/>
      <c r="U14" s="9"/>
      <c r="V14" s="9"/>
      <c r="W14" s="9"/>
      <c r="X14" s="9"/>
      <c r="Y14" s="9"/>
    </row>
    <row r="15" spans="1:25" ht="15.6" x14ac:dyDescent="0.3">
      <c r="A15" s="44" t="s">
        <v>12</v>
      </c>
      <c r="B15" s="154" t="s">
        <v>14</v>
      </c>
      <c r="C15" s="59" t="s">
        <v>13</v>
      </c>
      <c r="D15" s="60" t="s">
        <v>29</v>
      </c>
      <c r="E15" s="219"/>
      <c r="F15" s="219"/>
      <c r="G15" s="219"/>
      <c r="H15" s="219"/>
      <c r="I15" s="219"/>
      <c r="J15" s="62"/>
      <c r="K15" s="62"/>
      <c r="L15" s="62"/>
      <c r="M15" s="62"/>
      <c r="N15" s="62"/>
      <c r="O15" s="63"/>
      <c r="P15" s="63"/>
      <c r="Q15" s="62"/>
      <c r="R15" s="9"/>
      <c r="S15" s="9"/>
      <c r="T15" s="9"/>
      <c r="U15" s="9"/>
      <c r="V15" s="9"/>
      <c r="W15" s="9"/>
      <c r="X15" s="9"/>
      <c r="Y15" s="9"/>
    </row>
    <row r="16" spans="1:25" ht="15.6" x14ac:dyDescent="0.3">
      <c r="A16" s="44" t="s">
        <v>12</v>
      </c>
      <c r="B16" s="155" t="s">
        <v>26</v>
      </c>
      <c r="C16" s="64" t="s">
        <v>13</v>
      </c>
      <c r="D16" s="65" t="s">
        <v>28</v>
      </c>
      <c r="E16" s="66">
        <v>85800</v>
      </c>
      <c r="F16" s="66">
        <v>85800</v>
      </c>
      <c r="G16" s="66">
        <v>85800</v>
      </c>
      <c r="H16" s="66">
        <v>85800</v>
      </c>
      <c r="I16" s="66">
        <v>85800</v>
      </c>
      <c r="J16" s="67"/>
      <c r="K16" s="67"/>
      <c r="L16" s="62"/>
      <c r="M16" s="62"/>
      <c r="N16" s="62"/>
      <c r="O16" s="63"/>
      <c r="P16" s="63"/>
      <c r="Q16" s="62"/>
      <c r="R16" s="9"/>
      <c r="S16" s="9"/>
      <c r="T16" s="9"/>
      <c r="U16" s="9"/>
      <c r="V16" s="9"/>
      <c r="W16" s="9"/>
      <c r="X16" s="9"/>
      <c r="Y16" s="9"/>
    </row>
    <row r="17" spans="1:25" ht="15.6" x14ac:dyDescent="0.3">
      <c r="A17" s="44" t="s">
        <v>12</v>
      </c>
      <c r="B17" s="156" t="s">
        <v>27</v>
      </c>
      <c r="C17" s="69" t="s">
        <v>13</v>
      </c>
      <c r="D17" s="70" t="s">
        <v>28</v>
      </c>
      <c r="E17" s="71">
        <v>12000</v>
      </c>
      <c r="F17" s="71">
        <v>12000</v>
      </c>
      <c r="G17" s="71">
        <v>12000</v>
      </c>
      <c r="H17" s="71">
        <v>12000</v>
      </c>
      <c r="I17" s="71">
        <v>12000</v>
      </c>
      <c r="J17" s="72"/>
      <c r="K17" s="72"/>
      <c r="L17" s="62"/>
      <c r="M17" s="62"/>
      <c r="N17" s="62"/>
      <c r="O17" s="63"/>
      <c r="P17" s="63"/>
      <c r="Q17" s="62"/>
      <c r="R17" s="9"/>
      <c r="S17" s="9"/>
      <c r="T17" s="9"/>
      <c r="U17" s="9"/>
      <c r="V17" s="9"/>
      <c r="W17" s="9"/>
      <c r="X17" s="9"/>
      <c r="Y17" s="9"/>
    </row>
    <row r="18" spans="1:25" ht="15.6" x14ac:dyDescent="0.3">
      <c r="A18" s="44" t="s">
        <v>12</v>
      </c>
      <c r="B18" s="157" t="s">
        <v>16</v>
      </c>
      <c r="C18" s="69" t="s">
        <v>13</v>
      </c>
      <c r="D18" s="70" t="s">
        <v>123</v>
      </c>
      <c r="E18" s="73">
        <f>6759.5+9120</f>
        <v>15879.5</v>
      </c>
      <c r="F18" s="73">
        <f t="shared" ref="F18:I18" si="1">6759.5+9120</f>
        <v>15879.5</v>
      </c>
      <c r="G18" s="73">
        <f t="shared" si="1"/>
        <v>15879.5</v>
      </c>
      <c r="H18" s="73">
        <f t="shared" si="1"/>
        <v>15879.5</v>
      </c>
      <c r="I18" s="73">
        <f t="shared" si="1"/>
        <v>15879.5</v>
      </c>
      <c r="J18" s="72"/>
      <c r="K18" s="72"/>
      <c r="L18" s="62"/>
      <c r="M18" s="62"/>
      <c r="N18" s="62"/>
      <c r="O18" s="63"/>
      <c r="P18" s="63"/>
      <c r="Q18" s="62"/>
      <c r="R18" s="9"/>
      <c r="S18" s="9"/>
      <c r="T18" s="9"/>
      <c r="U18" s="9"/>
      <c r="V18" s="9"/>
      <c r="W18" s="9"/>
      <c r="X18" s="9"/>
      <c r="Y18" s="9"/>
    </row>
    <row r="19" spans="1:25" s="17" customFormat="1" ht="15.6" x14ac:dyDescent="0.3">
      <c r="A19" s="44" t="s">
        <v>12</v>
      </c>
      <c r="B19" s="157" t="s">
        <v>119</v>
      </c>
      <c r="C19" s="69"/>
      <c r="D19" s="70" t="s">
        <v>30</v>
      </c>
      <c r="E19" s="73">
        <f>3000+1500+6150+4280+2000+1000</f>
        <v>17930</v>
      </c>
      <c r="F19" s="73">
        <v>22100</v>
      </c>
      <c r="G19" s="73">
        <v>22100</v>
      </c>
      <c r="H19" s="73">
        <v>22100</v>
      </c>
      <c r="I19" s="73">
        <v>22101</v>
      </c>
      <c r="J19" s="72"/>
      <c r="K19" s="72"/>
      <c r="L19" s="62"/>
      <c r="M19" s="62"/>
      <c r="N19" s="62"/>
      <c r="O19" s="63"/>
      <c r="P19" s="63"/>
      <c r="Q19" s="62"/>
      <c r="R19" s="9"/>
      <c r="S19" s="9"/>
      <c r="T19" s="9"/>
      <c r="U19" s="9"/>
      <c r="V19" s="9"/>
      <c r="W19" s="9"/>
      <c r="X19" s="9"/>
      <c r="Y19" s="9"/>
    </row>
    <row r="20" spans="1:25" s="17" customFormat="1" ht="15.6" x14ac:dyDescent="0.3">
      <c r="A20" s="44" t="s">
        <v>12</v>
      </c>
      <c r="B20" s="157" t="s">
        <v>120</v>
      </c>
      <c r="C20" s="69"/>
      <c r="D20" s="70" t="s">
        <v>125</v>
      </c>
      <c r="E20" s="73">
        <f>1620+2438+800+3830+856+856</f>
        <v>10400</v>
      </c>
      <c r="F20" s="73">
        <f t="shared" ref="F20:I20" si="2">1620+2438+800+3830+856+856</f>
        <v>10400</v>
      </c>
      <c r="G20" s="73">
        <f t="shared" si="2"/>
        <v>10400</v>
      </c>
      <c r="H20" s="73">
        <f t="shared" si="2"/>
        <v>10400</v>
      </c>
      <c r="I20" s="73">
        <f t="shared" si="2"/>
        <v>10400</v>
      </c>
      <c r="J20" s="72"/>
      <c r="K20" s="72"/>
      <c r="L20" s="62"/>
      <c r="M20" s="62"/>
      <c r="N20" s="62"/>
      <c r="O20" s="63"/>
      <c r="P20" s="63"/>
      <c r="Q20" s="62"/>
      <c r="R20" s="9"/>
      <c r="S20" s="9"/>
      <c r="T20" s="9"/>
      <c r="U20" s="9"/>
      <c r="V20" s="9"/>
      <c r="W20" s="9"/>
      <c r="X20" s="9"/>
      <c r="Y20" s="9"/>
    </row>
    <row r="21" spans="1:25" ht="15.6" x14ac:dyDescent="0.3">
      <c r="A21" s="44" t="s">
        <v>12</v>
      </c>
      <c r="B21" s="156" t="s">
        <v>116</v>
      </c>
      <c r="C21" s="69" t="s">
        <v>13</v>
      </c>
      <c r="D21" s="70" t="s">
        <v>126</v>
      </c>
      <c r="E21" s="73">
        <f t="shared" ref="E21" si="3">4480+21560+1120</f>
        <v>27160</v>
      </c>
      <c r="F21" s="73">
        <f>4480+21560+1120</f>
        <v>27160</v>
      </c>
      <c r="G21" s="73">
        <f t="shared" ref="G21" si="4">4480+21560+1120</f>
        <v>27160</v>
      </c>
      <c r="H21" s="73">
        <f>4480+21560+1120</f>
        <v>27160</v>
      </c>
      <c r="I21" s="73">
        <f>4480+21560+1120</f>
        <v>27160</v>
      </c>
      <c r="J21" s="72"/>
      <c r="K21" s="72"/>
      <c r="L21" s="62"/>
      <c r="M21" s="62"/>
      <c r="N21" s="62"/>
      <c r="O21" s="63"/>
      <c r="P21" s="63"/>
      <c r="Q21" s="62"/>
      <c r="R21" s="9"/>
      <c r="S21" s="9"/>
      <c r="T21" s="9"/>
      <c r="U21" s="9"/>
      <c r="V21" s="9"/>
      <c r="W21" s="9"/>
      <c r="X21" s="9"/>
      <c r="Y21" s="9"/>
    </row>
    <row r="22" spans="1:25" ht="15.6" x14ac:dyDescent="0.3">
      <c r="A22" s="44" t="s">
        <v>12</v>
      </c>
      <c r="B22" s="156" t="s">
        <v>117</v>
      </c>
      <c r="C22" s="69" t="s">
        <v>13</v>
      </c>
      <c r="D22" s="70" t="s">
        <v>127</v>
      </c>
      <c r="E22" s="73">
        <v>21168</v>
      </c>
      <c r="F22" s="73">
        <f>3276+17892</f>
        <v>21168</v>
      </c>
      <c r="G22" s="73">
        <f t="shared" ref="G22" si="5">3276+17892</f>
        <v>21168</v>
      </c>
      <c r="H22" s="73">
        <f>3276+17892</f>
        <v>21168</v>
      </c>
      <c r="I22" s="73">
        <f>3276+17892</f>
        <v>21168</v>
      </c>
      <c r="J22" s="72"/>
      <c r="K22" s="72"/>
      <c r="L22" s="62"/>
      <c r="M22" s="62"/>
      <c r="N22" s="62"/>
      <c r="O22" s="63"/>
      <c r="P22" s="63"/>
      <c r="Q22" s="62"/>
      <c r="R22" s="9"/>
      <c r="S22" s="9"/>
      <c r="T22" s="9"/>
      <c r="U22" s="9"/>
      <c r="V22" s="9"/>
      <c r="W22" s="9"/>
      <c r="X22" s="9"/>
      <c r="Y22" s="9"/>
    </row>
    <row r="23" spans="1:25" ht="15.6" x14ac:dyDescent="0.3">
      <c r="A23" s="44" t="s">
        <v>12</v>
      </c>
      <c r="B23" s="156" t="s">
        <v>118</v>
      </c>
      <c r="C23" s="69" t="s">
        <v>13</v>
      </c>
      <c r="D23" s="70" t="s">
        <v>29</v>
      </c>
      <c r="E23" s="73">
        <v>15000</v>
      </c>
      <c r="F23" s="71">
        <v>15000</v>
      </c>
      <c r="G23" s="71">
        <v>15000</v>
      </c>
      <c r="H23" s="71">
        <v>15000</v>
      </c>
      <c r="I23" s="71">
        <v>15001</v>
      </c>
      <c r="J23" s="72"/>
      <c r="K23" s="72"/>
      <c r="L23" s="62"/>
      <c r="M23" s="62"/>
      <c r="N23" s="62"/>
      <c r="O23" s="63"/>
      <c r="P23" s="63"/>
      <c r="Q23" s="62"/>
      <c r="R23" s="9"/>
      <c r="S23" s="9"/>
      <c r="T23" s="9"/>
      <c r="U23" s="9"/>
      <c r="V23" s="9"/>
      <c r="W23" s="9"/>
      <c r="X23" s="9"/>
      <c r="Y23" s="9"/>
    </row>
    <row r="24" spans="1:25" s="17" customFormat="1" ht="15.6" x14ac:dyDescent="0.3">
      <c r="A24" s="44" t="s">
        <v>12</v>
      </c>
      <c r="B24" s="156" t="s">
        <v>121</v>
      </c>
      <c r="C24" s="69"/>
      <c r="D24" s="70"/>
      <c r="E24" s="153">
        <f t="shared" ref="E24" si="6">600/1.2</f>
        <v>500</v>
      </c>
      <c r="F24" s="153">
        <f>600/1.2</f>
        <v>500</v>
      </c>
      <c r="G24" s="153">
        <f t="shared" ref="G24:I24" si="7">600/1.2</f>
        <v>500</v>
      </c>
      <c r="H24" s="153">
        <f t="shared" si="7"/>
        <v>500</v>
      </c>
      <c r="I24" s="153">
        <f t="shared" si="7"/>
        <v>500</v>
      </c>
      <c r="J24" s="72"/>
      <c r="K24" s="72"/>
      <c r="L24" s="62"/>
      <c r="M24" s="62"/>
      <c r="N24" s="62"/>
      <c r="O24" s="63"/>
      <c r="P24" s="63"/>
      <c r="Q24" s="62"/>
      <c r="R24" s="9"/>
      <c r="S24" s="9"/>
      <c r="T24" s="9"/>
      <c r="U24" s="9"/>
      <c r="V24" s="9"/>
      <c r="W24" s="9"/>
      <c r="X24" s="9"/>
      <c r="Y24" s="9"/>
    </row>
    <row r="25" spans="1:25" ht="15.6" x14ac:dyDescent="0.3">
      <c r="A25" s="44" t="s">
        <v>12</v>
      </c>
      <c r="B25" s="156" t="s">
        <v>17</v>
      </c>
      <c r="C25" s="69" t="s">
        <v>13</v>
      </c>
      <c r="D25" s="70"/>
      <c r="E25" s="74"/>
      <c r="F25" s="74"/>
      <c r="G25" s="74"/>
      <c r="H25" s="74"/>
      <c r="I25" s="74"/>
      <c r="J25" s="72"/>
      <c r="K25" s="72"/>
      <c r="L25" s="62"/>
      <c r="M25" s="62"/>
      <c r="N25" s="62"/>
      <c r="O25" s="63"/>
      <c r="P25" s="63"/>
      <c r="Q25" s="62"/>
      <c r="R25" s="9"/>
      <c r="S25" s="9"/>
      <c r="T25" s="9"/>
      <c r="U25" s="9"/>
      <c r="V25" s="9"/>
      <c r="W25" s="9"/>
      <c r="X25" s="9"/>
      <c r="Y25" s="9"/>
    </row>
    <row r="26" spans="1:25" ht="15.6" x14ac:dyDescent="0.3">
      <c r="A26" s="44" t="s">
        <v>19</v>
      </c>
      <c r="B26" s="156" t="s">
        <v>18</v>
      </c>
      <c r="C26" s="69" t="s">
        <v>23</v>
      </c>
      <c r="D26" s="70"/>
      <c r="E26" s="74"/>
      <c r="F26" s="74"/>
      <c r="G26" s="74"/>
      <c r="H26" s="74"/>
      <c r="I26" s="74"/>
      <c r="J26" s="72"/>
      <c r="K26" s="72"/>
      <c r="L26" s="62"/>
      <c r="M26" s="62"/>
      <c r="N26" s="62"/>
      <c r="O26" s="63"/>
      <c r="P26" s="63"/>
      <c r="Q26" s="62"/>
      <c r="R26" s="9"/>
      <c r="S26" s="9"/>
      <c r="T26" s="9"/>
      <c r="U26" s="9"/>
      <c r="V26" s="9"/>
      <c r="W26" s="9"/>
      <c r="X26" s="9"/>
      <c r="Y26" s="9"/>
    </row>
    <row r="27" spans="1:25" ht="15.6" x14ac:dyDescent="0.3">
      <c r="A27" s="44" t="s">
        <v>19</v>
      </c>
      <c r="B27" s="156" t="s">
        <v>15</v>
      </c>
      <c r="C27" s="69" t="s">
        <v>13</v>
      </c>
      <c r="D27" s="70"/>
      <c r="E27" s="74"/>
      <c r="F27" s="74"/>
      <c r="G27" s="74"/>
      <c r="H27" s="74"/>
      <c r="I27" s="74"/>
      <c r="J27" s="72"/>
      <c r="K27" s="72"/>
      <c r="L27" s="62"/>
      <c r="M27" s="62"/>
      <c r="N27" s="62"/>
      <c r="O27" s="63"/>
      <c r="P27" s="63"/>
      <c r="Q27" s="62"/>
      <c r="R27" s="9"/>
      <c r="S27" s="9"/>
      <c r="T27" s="9"/>
      <c r="U27" s="9"/>
      <c r="V27" s="9"/>
      <c r="W27" s="9"/>
      <c r="X27" s="9"/>
      <c r="Y27" s="9"/>
    </row>
    <row r="28" spans="1:25" ht="15.6" x14ac:dyDescent="0.3">
      <c r="A28" s="44" t="s">
        <v>19</v>
      </c>
      <c r="B28" s="156" t="s">
        <v>20</v>
      </c>
      <c r="C28" s="69" t="s">
        <v>13</v>
      </c>
      <c r="D28" s="70"/>
      <c r="E28" s="73">
        <f t="shared" ref="E28" si="8">144500/1.2</f>
        <v>120416.66666666667</v>
      </c>
      <c r="F28" s="73">
        <f>144500/1.2</f>
        <v>120416.66666666667</v>
      </c>
      <c r="G28" s="73">
        <f t="shared" ref="G28" si="9">144500/1.2</f>
        <v>120416.66666666667</v>
      </c>
      <c r="H28" s="73">
        <f>144500/1.2</f>
        <v>120416.66666666667</v>
      </c>
      <c r="I28" s="73">
        <f>144500/1.2</f>
        <v>120416.66666666667</v>
      </c>
      <c r="J28" s="72"/>
      <c r="K28" s="72"/>
      <c r="L28" s="62"/>
      <c r="M28" s="62"/>
      <c r="N28" s="62"/>
      <c r="O28" s="63"/>
      <c r="P28" s="63"/>
      <c r="Q28" s="62"/>
      <c r="R28" s="9"/>
      <c r="S28" s="9"/>
      <c r="T28" s="9"/>
      <c r="U28" s="9"/>
      <c r="V28" s="9"/>
      <c r="W28" s="9"/>
      <c r="X28" s="9"/>
      <c r="Y28" s="9"/>
    </row>
    <row r="29" spans="1:25" s="17" customFormat="1" ht="15.6" x14ac:dyDescent="0.3">
      <c r="A29" s="44" t="s">
        <v>186</v>
      </c>
      <c r="B29" s="156"/>
      <c r="C29" s="69"/>
      <c r="D29" s="70"/>
      <c r="E29" s="73"/>
      <c r="F29" s="73"/>
      <c r="G29" s="73"/>
      <c r="H29" s="73">
        <v>4500</v>
      </c>
      <c r="I29" s="73">
        <v>4500</v>
      </c>
      <c r="J29" s="188">
        <v>4500</v>
      </c>
      <c r="K29" s="72"/>
      <c r="L29" s="62"/>
      <c r="M29" s="62"/>
      <c r="N29" s="62"/>
      <c r="O29" s="63"/>
      <c r="P29" s="63"/>
      <c r="Q29" s="62"/>
      <c r="R29" s="9"/>
      <c r="S29" s="9"/>
      <c r="T29" s="9"/>
      <c r="U29" s="9"/>
      <c r="V29" s="9"/>
      <c r="W29" s="9"/>
      <c r="X29" s="9"/>
      <c r="Y29" s="9"/>
    </row>
    <row r="30" spans="1:25" ht="15.6" x14ac:dyDescent="0.3">
      <c r="A30" s="44" t="s">
        <v>19</v>
      </c>
      <c r="B30" s="68" t="s">
        <v>122</v>
      </c>
      <c r="C30" s="69" t="s">
        <v>13</v>
      </c>
      <c r="D30" s="70"/>
      <c r="E30" s="152">
        <f>40992/1.2</f>
        <v>34160</v>
      </c>
      <c r="F30" s="152">
        <f>40992/1.2</f>
        <v>34160</v>
      </c>
      <c r="G30" s="152">
        <f t="shared" ref="G30:I30" si="10">40992/1.2</f>
        <v>34160</v>
      </c>
      <c r="H30" s="152">
        <f t="shared" si="10"/>
        <v>34160</v>
      </c>
      <c r="I30" s="152">
        <f t="shared" si="10"/>
        <v>34160</v>
      </c>
      <c r="J30" s="72"/>
      <c r="K30" s="72"/>
      <c r="L30" s="62"/>
      <c r="M30" s="62"/>
      <c r="N30" s="62"/>
      <c r="O30" s="63"/>
      <c r="P30" s="63"/>
      <c r="Q30" s="62"/>
      <c r="R30" s="9"/>
      <c r="S30" s="9"/>
      <c r="T30" s="9"/>
      <c r="U30" s="9"/>
      <c r="V30" s="9"/>
      <c r="W30" s="9"/>
      <c r="X30" s="9"/>
      <c r="Y30" s="9"/>
    </row>
    <row r="31" spans="1:25" ht="15.6" x14ac:dyDescent="0.3">
      <c r="A31" s="44" t="s">
        <v>19</v>
      </c>
      <c r="B31" s="68" t="s">
        <v>129</v>
      </c>
      <c r="C31" s="69" t="s">
        <v>13</v>
      </c>
      <c r="D31" s="70"/>
      <c r="E31" s="74"/>
      <c r="F31" s="74"/>
      <c r="G31" s="74"/>
      <c r="H31" s="74"/>
      <c r="I31" s="74"/>
      <c r="J31" s="72"/>
      <c r="K31" s="72"/>
      <c r="L31" s="62"/>
      <c r="M31" s="62"/>
      <c r="N31" s="62"/>
      <c r="O31" s="63"/>
      <c r="P31" s="63"/>
      <c r="Q31" s="62"/>
      <c r="R31" s="9"/>
      <c r="S31" s="9"/>
      <c r="T31" s="9"/>
      <c r="U31" s="9"/>
      <c r="V31" s="9"/>
      <c r="W31" s="9"/>
      <c r="X31" s="9"/>
      <c r="Y31" s="9"/>
    </row>
    <row r="32" spans="1:25" s="17" customFormat="1" ht="15.6" x14ac:dyDescent="0.3">
      <c r="A32" s="44" t="s">
        <v>19</v>
      </c>
      <c r="B32" s="68" t="s">
        <v>130</v>
      </c>
      <c r="C32" s="69"/>
      <c r="D32" s="70"/>
      <c r="E32" s="74"/>
      <c r="F32" s="74"/>
      <c r="G32" s="74"/>
      <c r="H32" s="74"/>
      <c r="I32" s="74"/>
      <c r="J32" s="72"/>
      <c r="K32" s="72"/>
      <c r="L32" s="62"/>
      <c r="M32" s="62"/>
      <c r="N32" s="62"/>
      <c r="O32" s="63"/>
      <c r="P32" s="63"/>
      <c r="Q32" s="62"/>
      <c r="R32" s="9"/>
      <c r="S32" s="9"/>
      <c r="T32" s="9"/>
      <c r="U32" s="9"/>
      <c r="V32" s="9"/>
      <c r="W32" s="9"/>
      <c r="X32" s="9"/>
      <c r="Y32" s="9"/>
    </row>
    <row r="33" spans="1:25" ht="15.6" x14ac:dyDescent="0.3">
      <c r="A33" s="44" t="s">
        <v>19</v>
      </c>
      <c r="B33" s="68" t="s">
        <v>131</v>
      </c>
      <c r="C33" s="69" t="s">
        <v>13</v>
      </c>
      <c r="D33" s="70"/>
      <c r="E33" s="74"/>
      <c r="F33" s="74"/>
      <c r="G33" s="74"/>
      <c r="H33" s="74"/>
      <c r="I33" s="74"/>
      <c r="J33" s="72"/>
      <c r="K33" s="72"/>
      <c r="L33" s="62"/>
      <c r="M33" s="62"/>
      <c r="N33" s="62"/>
      <c r="O33" s="63"/>
      <c r="P33" s="63"/>
      <c r="Q33" s="62"/>
      <c r="R33" s="9"/>
      <c r="S33" s="9"/>
      <c r="T33" s="9"/>
      <c r="U33" s="9"/>
      <c r="V33" s="9"/>
      <c r="W33" s="9"/>
      <c r="X33" s="9"/>
      <c r="Y33" s="9"/>
    </row>
    <row r="34" spans="1:25" ht="15.6" x14ac:dyDescent="0.3">
      <c r="A34" s="44" t="s">
        <v>19</v>
      </c>
      <c r="B34" s="68" t="s">
        <v>132</v>
      </c>
      <c r="C34" s="69" t="s">
        <v>23</v>
      </c>
      <c r="D34" s="70"/>
      <c r="E34" s="152">
        <f>60000/1.2</f>
        <v>50000</v>
      </c>
      <c r="F34" s="152">
        <f>60000/1.2</f>
        <v>50000</v>
      </c>
      <c r="G34" s="152">
        <f t="shared" ref="G34:I34" si="11">60000/1.2</f>
        <v>50000</v>
      </c>
      <c r="H34" s="152">
        <f t="shared" si="11"/>
        <v>50000</v>
      </c>
      <c r="I34" s="152">
        <f t="shared" si="11"/>
        <v>50000</v>
      </c>
      <c r="J34" s="72"/>
      <c r="K34" s="72"/>
      <c r="L34" s="62"/>
      <c r="M34" s="62"/>
      <c r="N34" s="62"/>
      <c r="O34" s="63"/>
      <c r="P34" s="63"/>
      <c r="Q34" s="62"/>
      <c r="R34" s="9"/>
      <c r="S34" s="9"/>
      <c r="T34" s="9"/>
      <c r="U34" s="9"/>
      <c r="V34" s="9"/>
      <c r="W34" s="9"/>
      <c r="X34" s="9"/>
      <c r="Y34" s="9"/>
    </row>
    <row r="35" spans="1:25" ht="15.6" x14ac:dyDescent="0.3">
      <c r="A35" s="45" t="s">
        <v>21</v>
      </c>
      <c r="B35" s="68" t="s">
        <v>133</v>
      </c>
      <c r="C35" s="69" t="s">
        <v>13</v>
      </c>
      <c r="D35" s="70"/>
      <c r="E35" s="74"/>
      <c r="F35" s="74"/>
      <c r="G35" s="74"/>
      <c r="H35" s="74"/>
      <c r="I35" s="74"/>
      <c r="J35" s="72"/>
      <c r="K35" s="72"/>
      <c r="L35" s="62"/>
      <c r="M35" s="62"/>
      <c r="N35" s="62"/>
      <c r="O35" s="63"/>
      <c r="P35" s="63"/>
      <c r="Q35" s="62"/>
      <c r="R35" s="9"/>
      <c r="S35" s="9"/>
      <c r="T35" s="9"/>
      <c r="U35" s="9"/>
      <c r="V35" s="9"/>
      <c r="W35" s="9"/>
      <c r="X35" s="9"/>
      <c r="Y35" s="9"/>
    </row>
    <row r="36" spans="1:25" s="17" customFormat="1" ht="15.6" x14ac:dyDescent="0.3">
      <c r="A36" s="45"/>
      <c r="B36" s="68" t="s">
        <v>22</v>
      </c>
      <c r="C36" s="69"/>
      <c r="D36" s="70"/>
      <c r="E36" s="74"/>
      <c r="F36" s="74"/>
      <c r="G36" s="74"/>
      <c r="H36" s="74"/>
      <c r="I36" s="74"/>
      <c r="J36" s="72"/>
      <c r="K36" s="72"/>
      <c r="L36" s="62"/>
      <c r="M36" s="62"/>
      <c r="N36" s="62"/>
      <c r="O36" s="63"/>
      <c r="P36" s="63"/>
      <c r="Q36" s="62"/>
      <c r="R36" s="9"/>
      <c r="S36" s="9"/>
      <c r="T36" s="9"/>
      <c r="U36" s="9"/>
      <c r="V36" s="9"/>
      <c r="W36" s="9"/>
      <c r="X36" s="9"/>
      <c r="Y36" s="9"/>
    </row>
    <row r="37" spans="1:25" s="17" customFormat="1" ht="16.2" thickBot="1" x14ac:dyDescent="0.35">
      <c r="A37" s="41"/>
      <c r="B37" s="75" t="s">
        <v>143</v>
      </c>
      <c r="C37" s="76"/>
      <c r="D37" s="77"/>
      <c r="E37" s="78">
        <f t="shared" ref="E37:K37" si="12">SUM(E13:E36)</f>
        <v>1203914.1666666667</v>
      </c>
      <c r="F37" s="78">
        <f t="shared" si="12"/>
        <v>1208084.1666666667</v>
      </c>
      <c r="G37" s="78">
        <f t="shared" si="12"/>
        <v>1208084.1666666667</v>
      </c>
      <c r="H37" s="78">
        <f t="shared" si="12"/>
        <v>1212584.1666666667</v>
      </c>
      <c r="I37" s="78">
        <f t="shared" si="12"/>
        <v>1212586.1666666667</v>
      </c>
      <c r="J37" s="78">
        <f t="shared" si="12"/>
        <v>4500</v>
      </c>
      <c r="K37" s="78">
        <f t="shared" si="12"/>
        <v>0</v>
      </c>
      <c r="L37" s="62"/>
      <c r="M37" s="62"/>
      <c r="N37" s="62"/>
      <c r="O37" s="63"/>
      <c r="P37" s="63"/>
      <c r="Q37" s="62"/>
      <c r="R37" s="9"/>
      <c r="S37" s="9"/>
      <c r="T37" s="9"/>
      <c r="U37" s="9"/>
      <c r="V37" s="9"/>
      <c r="W37" s="9"/>
      <c r="X37" s="9"/>
      <c r="Y37" s="9"/>
    </row>
    <row r="38" spans="1:25" ht="15.6" x14ac:dyDescent="0.3">
      <c r="A38" s="22" t="s">
        <v>34</v>
      </c>
      <c r="B38" s="12" t="s">
        <v>52</v>
      </c>
      <c r="C38" s="79" t="s">
        <v>24</v>
      </c>
      <c r="D38" s="224"/>
      <c r="E38" s="230">
        <f>292150</f>
        <v>292150</v>
      </c>
      <c r="F38" s="99">
        <v>22070</v>
      </c>
      <c r="G38" s="222">
        <f>SUM(F38:F43)</f>
        <v>316171</v>
      </c>
      <c r="H38" s="91">
        <v>26920</v>
      </c>
      <c r="I38" s="214">
        <f>SUM(H38:H43)</f>
        <v>314017</v>
      </c>
      <c r="J38" s="171">
        <f>H38-F38</f>
        <v>4850</v>
      </c>
      <c r="K38" s="204">
        <f>I38-G38</f>
        <v>-2154</v>
      </c>
      <c r="L38" s="80"/>
      <c r="M38" s="80"/>
      <c r="N38" s="80"/>
      <c r="O38" s="63"/>
      <c r="P38" s="63"/>
      <c r="Q38" s="80"/>
      <c r="R38" s="9"/>
      <c r="S38" s="9"/>
      <c r="T38" s="9"/>
      <c r="U38" s="9"/>
      <c r="V38" s="9"/>
      <c r="W38" s="9"/>
      <c r="X38" s="9"/>
      <c r="Y38" s="9"/>
    </row>
    <row r="39" spans="1:25" ht="15.6" x14ac:dyDescent="0.3">
      <c r="A39" s="23" t="s">
        <v>34</v>
      </c>
      <c r="B39" s="18" t="s">
        <v>53</v>
      </c>
      <c r="C39" s="59" t="s">
        <v>24</v>
      </c>
      <c r="D39" s="225"/>
      <c r="E39" s="231"/>
      <c r="F39" s="100">
        <v>117674</v>
      </c>
      <c r="G39" s="223"/>
      <c r="H39" s="169">
        <v>122573</v>
      </c>
      <c r="I39" s="215"/>
      <c r="J39" s="187">
        <f t="shared" ref="J39:J85" si="13">H39-F39</f>
        <v>4899</v>
      </c>
      <c r="K39" s="205"/>
      <c r="L39" s="62"/>
      <c r="M39" s="62"/>
      <c r="N39" s="62"/>
      <c r="O39" s="63"/>
      <c r="P39" s="63"/>
      <c r="Q39" s="62"/>
      <c r="R39" s="9"/>
      <c r="S39" s="9"/>
      <c r="T39" s="9"/>
      <c r="U39" s="9"/>
      <c r="V39" s="9"/>
      <c r="W39" s="9"/>
      <c r="X39" s="9"/>
      <c r="Y39" s="9"/>
    </row>
    <row r="40" spans="1:25" ht="15.6" x14ac:dyDescent="0.3">
      <c r="A40" s="23" t="s">
        <v>34</v>
      </c>
      <c r="B40" s="18" t="s">
        <v>54</v>
      </c>
      <c r="C40" s="59" t="s">
        <v>24</v>
      </c>
      <c r="D40" s="225"/>
      <c r="E40" s="231"/>
      <c r="F40" s="48">
        <v>39530</v>
      </c>
      <c r="G40" s="223"/>
      <c r="H40" s="48">
        <v>50930</v>
      </c>
      <c r="I40" s="215"/>
      <c r="J40" s="173">
        <f t="shared" si="13"/>
        <v>11400</v>
      </c>
      <c r="K40" s="205"/>
      <c r="L40" s="62"/>
      <c r="M40" s="62"/>
      <c r="N40" s="62"/>
      <c r="O40" s="63"/>
      <c r="P40" s="63"/>
      <c r="Q40" s="62"/>
      <c r="R40" s="9"/>
      <c r="S40" s="9"/>
      <c r="T40" s="9"/>
      <c r="U40" s="9"/>
      <c r="V40" s="9"/>
      <c r="W40" s="9"/>
      <c r="X40" s="9"/>
      <c r="Y40" s="9"/>
    </row>
    <row r="41" spans="1:25" ht="15.6" x14ac:dyDescent="0.3">
      <c r="A41" s="23" t="s">
        <v>34</v>
      </c>
      <c r="B41" s="18" t="s">
        <v>33</v>
      </c>
      <c r="C41" s="59" t="s">
        <v>24</v>
      </c>
      <c r="D41" s="225"/>
      <c r="E41" s="231"/>
      <c r="F41" s="48">
        <v>62597</v>
      </c>
      <c r="G41" s="223"/>
      <c r="H41" s="48">
        <v>62704</v>
      </c>
      <c r="I41" s="215"/>
      <c r="J41" s="173">
        <f t="shared" si="13"/>
        <v>107</v>
      </c>
      <c r="K41" s="205"/>
      <c r="L41" s="62"/>
      <c r="M41" s="62"/>
      <c r="N41" s="62"/>
      <c r="O41" s="63"/>
      <c r="P41" s="63"/>
      <c r="Q41" s="62"/>
      <c r="R41" s="9"/>
      <c r="S41" s="9"/>
      <c r="T41" s="9"/>
      <c r="U41" s="9"/>
      <c r="V41" s="9"/>
      <c r="W41" s="9"/>
      <c r="X41" s="9"/>
      <c r="Y41" s="9"/>
    </row>
    <row r="42" spans="1:25" ht="15.6" x14ac:dyDescent="0.3">
      <c r="A42" s="23" t="s">
        <v>34</v>
      </c>
      <c r="B42" s="18" t="s">
        <v>55</v>
      </c>
      <c r="C42" s="59" t="s">
        <v>24</v>
      </c>
      <c r="D42" s="225"/>
      <c r="E42" s="231"/>
      <c r="F42" s="48">
        <v>58880</v>
      </c>
      <c r="G42" s="223"/>
      <c r="H42" s="48">
        <v>33820</v>
      </c>
      <c r="I42" s="215"/>
      <c r="J42" s="175">
        <f t="shared" si="13"/>
        <v>-25060</v>
      </c>
      <c r="K42" s="205"/>
      <c r="L42" s="62"/>
      <c r="M42" s="62"/>
      <c r="N42" s="62"/>
      <c r="O42" s="63"/>
      <c r="P42" s="63"/>
      <c r="Q42" s="62"/>
      <c r="R42" s="9"/>
      <c r="S42" s="9"/>
      <c r="T42" s="9"/>
      <c r="U42" s="9"/>
      <c r="V42" s="9"/>
      <c r="W42" s="9"/>
      <c r="X42" s="9"/>
      <c r="Y42" s="9"/>
    </row>
    <row r="43" spans="1:25" ht="16.2" thickBot="1" x14ac:dyDescent="0.35">
      <c r="A43" s="24" t="s">
        <v>34</v>
      </c>
      <c r="B43" s="18" t="s">
        <v>56</v>
      </c>
      <c r="C43" s="59" t="s">
        <v>24</v>
      </c>
      <c r="D43" s="226"/>
      <c r="E43" s="232"/>
      <c r="F43" s="48">
        <v>15420</v>
      </c>
      <c r="G43" s="223"/>
      <c r="H43" s="48">
        <v>17070</v>
      </c>
      <c r="I43" s="215"/>
      <c r="J43" s="174">
        <f t="shared" si="13"/>
        <v>1650</v>
      </c>
      <c r="K43" s="206"/>
      <c r="L43" s="62"/>
      <c r="M43" s="62"/>
      <c r="N43" s="62"/>
      <c r="O43" s="63"/>
      <c r="P43" s="63"/>
      <c r="Q43" s="62"/>
      <c r="R43" s="9"/>
      <c r="S43" s="9"/>
      <c r="T43" s="9"/>
      <c r="U43" s="9"/>
      <c r="V43" s="9"/>
      <c r="W43" s="9"/>
      <c r="X43" s="9"/>
      <c r="Y43" s="9"/>
    </row>
    <row r="44" spans="1:25" ht="16.2" thickBot="1" x14ac:dyDescent="0.35">
      <c r="A44" s="25" t="s">
        <v>35</v>
      </c>
      <c r="B44" s="13" t="s">
        <v>57</v>
      </c>
      <c r="C44" s="82" t="s">
        <v>24</v>
      </c>
      <c r="D44" s="83"/>
      <c r="E44" s="84">
        <v>64000</v>
      </c>
      <c r="F44" s="49">
        <v>109200</v>
      </c>
      <c r="G44" s="101">
        <f>F44</f>
        <v>109200</v>
      </c>
      <c r="H44" s="49">
        <v>121500</v>
      </c>
      <c r="I44" s="189">
        <f>H44</f>
        <v>121500</v>
      </c>
      <c r="J44" s="186">
        <f t="shared" si="13"/>
        <v>12300</v>
      </c>
      <c r="K44" s="186">
        <f>I44-G44</f>
        <v>12300</v>
      </c>
      <c r="L44" s="84"/>
      <c r="M44" s="84"/>
      <c r="N44" s="84"/>
      <c r="O44" s="63"/>
      <c r="P44" s="63"/>
      <c r="Q44" s="84"/>
      <c r="R44" s="9"/>
      <c r="S44" s="9"/>
      <c r="T44" s="9"/>
      <c r="U44" s="9"/>
      <c r="V44" s="9"/>
      <c r="W44" s="9"/>
      <c r="X44" s="9"/>
      <c r="Y44" s="9"/>
    </row>
    <row r="45" spans="1:25" ht="15.6" x14ac:dyDescent="0.3">
      <c r="A45" s="26" t="s">
        <v>36</v>
      </c>
      <c r="B45" s="18" t="s">
        <v>58</v>
      </c>
      <c r="C45" s="59" t="s">
        <v>24</v>
      </c>
      <c r="D45" s="224"/>
      <c r="E45" s="62">
        <v>310000</v>
      </c>
      <c r="F45" s="50">
        <v>310000</v>
      </c>
      <c r="G45" s="223">
        <f>SUM(F45:F52)</f>
        <v>1059784.317</v>
      </c>
      <c r="H45" s="50">
        <v>270000</v>
      </c>
      <c r="I45" s="215">
        <f>SUM(H45:H52)</f>
        <v>1017499.6</v>
      </c>
      <c r="J45" s="177">
        <f t="shared" si="13"/>
        <v>-40000</v>
      </c>
      <c r="K45" s="204">
        <f>I45-G45</f>
        <v>-42284.717000000062</v>
      </c>
      <c r="L45" s="62"/>
      <c r="M45" s="62"/>
      <c r="N45" s="62"/>
      <c r="O45" s="63"/>
      <c r="P45" s="63"/>
      <c r="Q45" s="62"/>
      <c r="R45" s="9"/>
      <c r="S45" s="9"/>
      <c r="T45" s="9"/>
      <c r="U45" s="9"/>
      <c r="V45" s="9"/>
      <c r="W45" s="9"/>
      <c r="X45" s="9"/>
      <c r="Y45" s="9"/>
    </row>
    <row r="46" spans="1:25" s="17" customFormat="1" ht="15.6" x14ac:dyDescent="0.3">
      <c r="A46" s="26" t="s">
        <v>36</v>
      </c>
      <c r="B46" s="18" t="s">
        <v>182</v>
      </c>
      <c r="C46" s="59" t="s">
        <v>24</v>
      </c>
      <c r="D46" s="225"/>
      <c r="E46" s="62"/>
      <c r="F46" s="50">
        <v>0</v>
      </c>
      <c r="G46" s="223"/>
      <c r="H46" s="50">
        <v>30000</v>
      </c>
      <c r="I46" s="215"/>
      <c r="J46" s="172">
        <f t="shared" si="13"/>
        <v>30000</v>
      </c>
      <c r="K46" s="205"/>
      <c r="L46" s="62"/>
      <c r="M46" s="62"/>
      <c r="N46" s="62"/>
      <c r="O46" s="63"/>
      <c r="P46" s="63"/>
      <c r="Q46" s="62"/>
      <c r="R46" s="9"/>
      <c r="S46" s="9"/>
      <c r="T46" s="9"/>
      <c r="U46" s="9"/>
      <c r="V46" s="9"/>
      <c r="W46" s="9"/>
      <c r="X46" s="9"/>
      <c r="Y46" s="9"/>
    </row>
    <row r="47" spans="1:25" s="17" customFormat="1" ht="15.6" x14ac:dyDescent="0.3">
      <c r="A47" s="26" t="s">
        <v>36</v>
      </c>
      <c r="B47" s="18" t="s">
        <v>53</v>
      </c>
      <c r="C47" s="59" t="s">
        <v>24</v>
      </c>
      <c r="D47" s="225"/>
      <c r="E47" s="62"/>
      <c r="F47" s="50">
        <v>0</v>
      </c>
      <c r="G47" s="223"/>
      <c r="H47" s="50">
        <v>5580</v>
      </c>
      <c r="I47" s="215"/>
      <c r="J47" s="172">
        <f t="shared" si="13"/>
        <v>5580</v>
      </c>
      <c r="K47" s="205"/>
      <c r="L47" s="62"/>
      <c r="M47" s="62"/>
      <c r="N47" s="62"/>
      <c r="O47" s="63"/>
      <c r="P47" s="63"/>
      <c r="Q47" s="62"/>
      <c r="R47" s="9"/>
      <c r="S47" s="9"/>
      <c r="T47" s="9"/>
      <c r="U47" s="9"/>
      <c r="V47" s="9"/>
      <c r="W47" s="9"/>
      <c r="X47" s="9"/>
      <c r="Y47" s="9"/>
    </row>
    <row r="48" spans="1:25" s="11" customFormat="1" ht="15.6" x14ac:dyDescent="0.3">
      <c r="A48" s="26" t="s">
        <v>36</v>
      </c>
      <c r="B48" s="18" t="s">
        <v>59</v>
      </c>
      <c r="C48" s="59" t="s">
        <v>24</v>
      </c>
      <c r="D48" s="225"/>
      <c r="E48" s="231">
        <v>691235</v>
      </c>
      <c r="F48" s="48">
        <v>23035</v>
      </c>
      <c r="G48" s="223"/>
      <c r="H48" s="48">
        <v>16250</v>
      </c>
      <c r="I48" s="215"/>
      <c r="J48" s="175">
        <f t="shared" si="13"/>
        <v>-6785</v>
      </c>
      <c r="K48" s="205"/>
      <c r="L48" s="62"/>
      <c r="M48" s="62"/>
      <c r="N48" s="62"/>
      <c r="O48" s="63"/>
      <c r="P48" s="63"/>
      <c r="Q48" s="62"/>
      <c r="R48" s="9"/>
      <c r="S48" s="9"/>
      <c r="T48" s="9"/>
      <c r="U48" s="9"/>
      <c r="V48" s="9"/>
      <c r="W48" s="9"/>
      <c r="X48" s="9"/>
      <c r="Y48" s="9"/>
    </row>
    <row r="49" spans="1:25" s="11" customFormat="1" ht="15.6" x14ac:dyDescent="0.3">
      <c r="A49" s="26" t="s">
        <v>36</v>
      </c>
      <c r="B49" s="18" t="s">
        <v>60</v>
      </c>
      <c r="C49" s="59" t="s">
        <v>24</v>
      </c>
      <c r="D49" s="225"/>
      <c r="E49" s="231"/>
      <c r="F49" s="48">
        <v>228710.8</v>
      </c>
      <c r="G49" s="223"/>
      <c r="H49" s="48">
        <v>225907.48</v>
      </c>
      <c r="I49" s="215"/>
      <c r="J49" s="175">
        <f t="shared" si="13"/>
        <v>-2803.3199999999779</v>
      </c>
      <c r="K49" s="205"/>
      <c r="L49" s="62"/>
      <c r="M49" s="62"/>
      <c r="N49" s="62"/>
      <c r="O49" s="63"/>
      <c r="P49" s="63"/>
      <c r="Q49" s="62"/>
      <c r="R49" s="9"/>
      <c r="S49" s="9"/>
      <c r="T49" s="9"/>
      <c r="U49" s="9"/>
      <c r="V49" s="9"/>
      <c r="W49" s="9"/>
      <c r="X49" s="9"/>
      <c r="Y49" s="9"/>
    </row>
    <row r="50" spans="1:25" s="11" customFormat="1" ht="15.6" x14ac:dyDescent="0.3">
      <c r="A50" s="26" t="s">
        <v>36</v>
      </c>
      <c r="B50" s="18" t="s">
        <v>61</v>
      </c>
      <c r="C50" s="59" t="s">
        <v>24</v>
      </c>
      <c r="D50" s="225"/>
      <c r="E50" s="231"/>
      <c r="F50" s="48">
        <v>366238.51699999999</v>
      </c>
      <c r="G50" s="223"/>
      <c r="H50" s="48">
        <v>333908.12</v>
      </c>
      <c r="I50" s="215"/>
      <c r="J50" s="175">
        <f t="shared" si="13"/>
        <v>-32330.396999999997</v>
      </c>
      <c r="K50" s="205"/>
      <c r="L50" s="62"/>
      <c r="M50" s="62"/>
      <c r="N50" s="62"/>
      <c r="O50" s="63"/>
      <c r="P50" s="63"/>
      <c r="Q50" s="62"/>
      <c r="R50" s="9"/>
      <c r="S50" s="9"/>
      <c r="T50" s="9"/>
      <c r="U50" s="9"/>
      <c r="V50" s="9"/>
      <c r="W50" s="9"/>
      <c r="X50" s="9"/>
      <c r="Y50" s="9"/>
    </row>
    <row r="51" spans="1:25" s="11" customFormat="1" ht="27.6" x14ac:dyDescent="0.3">
      <c r="A51" s="26" t="s">
        <v>36</v>
      </c>
      <c r="B51" s="18" t="s">
        <v>62</v>
      </c>
      <c r="C51" s="170" t="s">
        <v>24</v>
      </c>
      <c r="D51" s="225"/>
      <c r="E51" s="231"/>
      <c r="F51" s="48">
        <v>128800</v>
      </c>
      <c r="G51" s="223"/>
      <c r="H51" s="48">
        <v>107200</v>
      </c>
      <c r="I51" s="215"/>
      <c r="J51" s="178">
        <f t="shared" si="13"/>
        <v>-21600</v>
      </c>
      <c r="K51" s="205"/>
      <c r="L51" s="62"/>
      <c r="M51" s="62"/>
      <c r="N51" s="62"/>
      <c r="O51" s="63"/>
      <c r="P51" s="63"/>
      <c r="Q51" s="62"/>
      <c r="R51" s="9"/>
      <c r="S51" s="9"/>
      <c r="T51" s="9"/>
      <c r="U51" s="9"/>
      <c r="V51" s="9"/>
      <c r="W51" s="9"/>
      <c r="X51" s="9"/>
      <c r="Y51" s="9"/>
    </row>
    <row r="52" spans="1:25" s="11" customFormat="1" ht="16.2" thickBot="1" x14ac:dyDescent="0.35">
      <c r="A52" s="26" t="s">
        <v>36</v>
      </c>
      <c r="B52" s="18" t="s">
        <v>63</v>
      </c>
      <c r="C52" s="95" t="s">
        <v>24</v>
      </c>
      <c r="D52" s="226"/>
      <c r="E52" s="232"/>
      <c r="F52" s="48">
        <v>3000</v>
      </c>
      <c r="G52" s="223"/>
      <c r="H52" s="48">
        <v>28654</v>
      </c>
      <c r="I52" s="215"/>
      <c r="J52" s="184">
        <f t="shared" si="13"/>
        <v>25654</v>
      </c>
      <c r="K52" s="206"/>
      <c r="L52" s="62"/>
      <c r="M52" s="62"/>
      <c r="N52" s="62"/>
      <c r="O52" s="63"/>
      <c r="P52" s="63"/>
      <c r="Q52" s="62"/>
      <c r="R52" s="9"/>
      <c r="S52" s="9"/>
      <c r="T52" s="9"/>
      <c r="U52" s="9"/>
      <c r="V52" s="9"/>
      <c r="W52" s="9"/>
      <c r="X52" s="9"/>
      <c r="Y52" s="9"/>
    </row>
    <row r="53" spans="1:25" ht="15.6" x14ac:dyDescent="0.3">
      <c r="A53" s="27" t="s">
        <v>37</v>
      </c>
      <c r="B53" s="12" t="s">
        <v>64</v>
      </c>
      <c r="C53" s="59" t="s">
        <v>24</v>
      </c>
      <c r="D53" s="224"/>
      <c r="E53" s="230">
        <v>147526</v>
      </c>
      <c r="F53" s="51">
        <v>6650</v>
      </c>
      <c r="G53" s="222">
        <f>SUM(F53:F55)</f>
        <v>155262</v>
      </c>
      <c r="H53" s="51">
        <v>11500</v>
      </c>
      <c r="I53" s="214">
        <f>SUM(H53:H55)</f>
        <v>130532</v>
      </c>
      <c r="J53" s="171">
        <f t="shared" si="13"/>
        <v>4850</v>
      </c>
      <c r="K53" s="204">
        <f>I53-G53</f>
        <v>-24730</v>
      </c>
      <c r="L53" s="80"/>
      <c r="M53" s="80"/>
      <c r="N53" s="80"/>
      <c r="O53" s="63"/>
      <c r="P53" s="63"/>
      <c r="Q53" s="80"/>
      <c r="R53" s="9"/>
      <c r="S53" s="9"/>
      <c r="T53" s="9"/>
      <c r="U53" s="9"/>
      <c r="V53" s="9"/>
      <c r="W53" s="9"/>
      <c r="X53" s="9"/>
      <c r="Y53" s="9"/>
    </row>
    <row r="54" spans="1:25" s="11" customFormat="1" ht="15.6" x14ac:dyDescent="0.3">
      <c r="A54" s="28" t="s">
        <v>37</v>
      </c>
      <c r="B54" s="18" t="s">
        <v>65</v>
      </c>
      <c r="C54" s="59" t="s">
        <v>24</v>
      </c>
      <c r="D54" s="225"/>
      <c r="E54" s="231"/>
      <c r="F54" s="48">
        <v>99622</v>
      </c>
      <c r="G54" s="223"/>
      <c r="H54" s="48">
        <v>99622</v>
      </c>
      <c r="I54" s="215"/>
      <c r="J54" s="175">
        <f t="shared" si="13"/>
        <v>0</v>
      </c>
      <c r="K54" s="205"/>
      <c r="L54" s="62"/>
      <c r="M54" s="62"/>
      <c r="N54" s="62"/>
      <c r="O54" s="63"/>
      <c r="P54" s="63"/>
      <c r="Q54" s="62"/>
      <c r="R54" s="9"/>
      <c r="S54" s="9"/>
      <c r="T54" s="9"/>
      <c r="U54" s="9"/>
      <c r="V54" s="9"/>
      <c r="W54" s="9"/>
      <c r="X54" s="9"/>
      <c r="Y54" s="9"/>
    </row>
    <row r="55" spans="1:25" s="11" customFormat="1" ht="16.2" thickBot="1" x14ac:dyDescent="0.35">
      <c r="A55" s="29" t="s">
        <v>37</v>
      </c>
      <c r="B55" s="18" t="s">
        <v>63</v>
      </c>
      <c r="C55" s="95" t="s">
        <v>24</v>
      </c>
      <c r="D55" s="226"/>
      <c r="E55" s="232"/>
      <c r="F55" s="48">
        <v>48990</v>
      </c>
      <c r="G55" s="223"/>
      <c r="H55" s="48">
        <v>19410</v>
      </c>
      <c r="I55" s="215"/>
      <c r="J55" s="176">
        <f t="shared" si="13"/>
        <v>-29580</v>
      </c>
      <c r="K55" s="206"/>
      <c r="L55" s="62"/>
      <c r="M55" s="62"/>
      <c r="N55" s="62"/>
      <c r="O55" s="63"/>
      <c r="P55" s="63"/>
      <c r="Q55" s="62"/>
      <c r="R55" s="9"/>
      <c r="S55" s="9"/>
      <c r="T55" s="9"/>
      <c r="U55" s="9"/>
      <c r="V55" s="9"/>
      <c r="W55" s="9"/>
      <c r="X55" s="9"/>
      <c r="Y55" s="9"/>
    </row>
    <row r="56" spans="1:25" ht="15.6" x14ac:dyDescent="0.3">
      <c r="A56" s="30" t="s">
        <v>38</v>
      </c>
      <c r="B56" s="12" t="s">
        <v>66</v>
      </c>
      <c r="C56" s="59" t="s">
        <v>24</v>
      </c>
      <c r="D56" s="224"/>
      <c r="E56" s="230">
        <v>130740</v>
      </c>
      <c r="F56" s="51">
        <v>86430</v>
      </c>
      <c r="G56" s="222">
        <f>SUM(F56:F59)</f>
        <v>156085</v>
      </c>
      <c r="H56" s="51">
        <v>91730</v>
      </c>
      <c r="I56" s="214">
        <f>SUM(H56:H59)</f>
        <v>217980</v>
      </c>
      <c r="J56" s="171">
        <f t="shared" si="13"/>
        <v>5300</v>
      </c>
      <c r="K56" s="201">
        <f>I56-G56</f>
        <v>61895</v>
      </c>
      <c r="L56" s="80"/>
      <c r="M56" s="80"/>
      <c r="N56" s="80"/>
      <c r="O56" s="63"/>
      <c r="P56" s="63"/>
      <c r="Q56" s="80"/>
      <c r="R56" s="9"/>
      <c r="S56" s="9"/>
      <c r="T56" s="9"/>
      <c r="U56" s="9"/>
      <c r="V56" s="9"/>
      <c r="W56" s="9"/>
      <c r="X56" s="9"/>
      <c r="Y56" s="9"/>
    </row>
    <row r="57" spans="1:25" s="11" customFormat="1" ht="15.6" x14ac:dyDescent="0.3">
      <c r="A57" s="33" t="s">
        <v>38</v>
      </c>
      <c r="B57" s="18" t="s">
        <v>67</v>
      </c>
      <c r="C57" s="59" t="s">
        <v>24</v>
      </c>
      <c r="D57" s="225"/>
      <c r="E57" s="231"/>
      <c r="F57" s="48">
        <v>19654.999999999996</v>
      </c>
      <c r="G57" s="223"/>
      <c r="H57" s="48">
        <v>23855</v>
      </c>
      <c r="I57" s="215"/>
      <c r="J57" s="173">
        <f t="shared" si="13"/>
        <v>4200.0000000000036</v>
      </c>
      <c r="K57" s="202"/>
      <c r="L57" s="62"/>
      <c r="M57" s="62"/>
      <c r="N57" s="62"/>
      <c r="O57" s="63"/>
      <c r="P57" s="63"/>
      <c r="Q57" s="62"/>
      <c r="R57" s="9"/>
      <c r="S57" s="9"/>
      <c r="T57" s="9"/>
      <c r="U57" s="9"/>
      <c r="V57" s="9"/>
      <c r="W57" s="9"/>
      <c r="X57" s="9"/>
      <c r="Y57" s="9"/>
    </row>
    <row r="58" spans="1:25" s="11" customFormat="1" ht="15.6" x14ac:dyDescent="0.3">
      <c r="A58" s="33" t="s">
        <v>38</v>
      </c>
      <c r="B58" s="18" t="s">
        <v>68</v>
      </c>
      <c r="C58" s="59" t="s">
        <v>24</v>
      </c>
      <c r="D58" s="225"/>
      <c r="E58" s="231"/>
      <c r="F58" s="48">
        <v>20800</v>
      </c>
      <c r="G58" s="223"/>
      <c r="H58" s="48">
        <v>12100</v>
      </c>
      <c r="I58" s="215"/>
      <c r="J58" s="175">
        <f t="shared" si="13"/>
        <v>-8700</v>
      </c>
      <c r="K58" s="202"/>
      <c r="L58" s="62"/>
      <c r="M58" s="62"/>
      <c r="N58" s="62"/>
      <c r="O58" s="63"/>
      <c r="P58" s="63"/>
      <c r="Q58" s="62"/>
      <c r="R58" s="9"/>
      <c r="S58" s="9"/>
      <c r="T58" s="9"/>
      <c r="U58" s="9"/>
      <c r="V58" s="9"/>
      <c r="W58" s="9"/>
      <c r="X58" s="9"/>
      <c r="Y58" s="9"/>
    </row>
    <row r="59" spans="1:25" s="11" customFormat="1" ht="16.2" thickBot="1" x14ac:dyDescent="0.35">
      <c r="A59" s="31" t="s">
        <v>38</v>
      </c>
      <c r="B59" s="14" t="s">
        <v>69</v>
      </c>
      <c r="C59" s="95" t="s">
        <v>24</v>
      </c>
      <c r="D59" s="226"/>
      <c r="E59" s="232"/>
      <c r="F59" s="52">
        <v>29200</v>
      </c>
      <c r="G59" s="233"/>
      <c r="H59" s="52">
        <v>90295</v>
      </c>
      <c r="I59" s="216"/>
      <c r="J59" s="184">
        <f t="shared" si="13"/>
        <v>61095</v>
      </c>
      <c r="K59" s="203"/>
      <c r="L59" s="85"/>
      <c r="M59" s="85"/>
      <c r="N59" s="85"/>
      <c r="O59" s="63"/>
      <c r="P59" s="63"/>
      <c r="Q59" s="85"/>
      <c r="R59" s="9"/>
      <c r="S59" s="9"/>
      <c r="T59" s="9"/>
      <c r="U59" s="9"/>
      <c r="V59" s="9"/>
      <c r="W59" s="9"/>
      <c r="X59" s="9"/>
      <c r="Y59" s="9"/>
    </row>
    <row r="60" spans="1:25" ht="16.2" thickBot="1" x14ac:dyDescent="0.35">
      <c r="A60" s="28" t="s">
        <v>39</v>
      </c>
      <c r="B60" s="18" t="s">
        <v>70</v>
      </c>
      <c r="C60" s="82" t="s">
        <v>24</v>
      </c>
      <c r="D60" s="60"/>
      <c r="E60" s="86">
        <v>222950</v>
      </c>
      <c r="F60" s="50">
        <v>211640</v>
      </c>
      <c r="G60" s="87">
        <f>F60</f>
        <v>211640</v>
      </c>
      <c r="H60" s="50">
        <v>189700</v>
      </c>
      <c r="I60" s="190">
        <f>H60</f>
        <v>189700</v>
      </c>
      <c r="J60" s="181">
        <f t="shared" si="13"/>
        <v>-21940</v>
      </c>
      <c r="K60" s="185">
        <f>I60-G60</f>
        <v>-21940</v>
      </c>
      <c r="L60" s="62"/>
      <c r="M60" s="62"/>
      <c r="N60" s="62"/>
      <c r="O60" s="63"/>
      <c r="P60" s="63"/>
      <c r="Q60" s="62"/>
      <c r="R60" s="9"/>
      <c r="S60" s="9"/>
      <c r="T60" s="9"/>
      <c r="U60" s="9"/>
      <c r="V60" s="9"/>
      <c r="W60" s="9"/>
      <c r="X60" s="9"/>
      <c r="Y60" s="9"/>
    </row>
    <row r="61" spans="1:25" ht="15.6" x14ac:dyDescent="0.3">
      <c r="A61" s="30" t="s">
        <v>40</v>
      </c>
      <c r="B61" s="12" t="s">
        <v>71</v>
      </c>
      <c r="C61" s="59" t="s">
        <v>24</v>
      </c>
      <c r="D61" s="224"/>
      <c r="E61" s="230">
        <v>128450</v>
      </c>
      <c r="F61" s="51">
        <v>28900</v>
      </c>
      <c r="G61" s="227">
        <f>SUM(F61:F62)</f>
        <v>139650</v>
      </c>
      <c r="H61" s="51">
        <v>0</v>
      </c>
      <c r="I61" s="211">
        <f>SUM(H61:H62)</f>
        <v>110750</v>
      </c>
      <c r="J61" s="177">
        <f t="shared" si="13"/>
        <v>-28900</v>
      </c>
      <c r="K61" s="209">
        <f>I61-G61</f>
        <v>-28900</v>
      </c>
      <c r="L61" s="79"/>
      <c r="M61" s="79"/>
      <c r="N61" s="79"/>
      <c r="O61" s="63"/>
      <c r="P61" s="63"/>
      <c r="Q61" s="79"/>
    </row>
    <row r="62" spans="1:25" s="11" customFormat="1" ht="16.2" thickBot="1" x14ac:dyDescent="0.35">
      <c r="A62" s="31" t="s">
        <v>40</v>
      </c>
      <c r="B62" s="14" t="s">
        <v>72</v>
      </c>
      <c r="C62" s="95" t="s">
        <v>24</v>
      </c>
      <c r="D62" s="226"/>
      <c r="E62" s="232"/>
      <c r="F62" s="52">
        <v>110750</v>
      </c>
      <c r="G62" s="229"/>
      <c r="H62" s="52">
        <v>110750</v>
      </c>
      <c r="I62" s="213"/>
      <c r="J62" s="176">
        <f t="shared" si="13"/>
        <v>0</v>
      </c>
      <c r="K62" s="210"/>
      <c r="L62" s="85"/>
      <c r="M62" s="85"/>
      <c r="N62" s="85"/>
      <c r="O62" s="63"/>
      <c r="P62" s="63"/>
      <c r="Q62" s="85"/>
      <c r="R62" s="9"/>
      <c r="S62" s="9"/>
      <c r="T62" s="9"/>
      <c r="U62" s="9"/>
      <c r="V62" s="9"/>
      <c r="W62" s="9"/>
      <c r="X62" s="9"/>
      <c r="Y62" s="9"/>
    </row>
    <row r="63" spans="1:25" ht="15.6" x14ac:dyDescent="0.3">
      <c r="A63" s="27" t="s">
        <v>41</v>
      </c>
      <c r="B63" s="12" t="s">
        <v>71</v>
      </c>
      <c r="C63" s="59" t="s">
        <v>24</v>
      </c>
      <c r="D63" s="224"/>
      <c r="E63" s="230">
        <f>321935+99696</f>
        <v>421631</v>
      </c>
      <c r="F63" s="51">
        <v>0</v>
      </c>
      <c r="G63" s="227">
        <f>SUM(F63:F66)</f>
        <v>365049.8</v>
      </c>
      <c r="H63" s="51">
        <v>28900</v>
      </c>
      <c r="I63" s="211">
        <f>SUM(H63:H66)</f>
        <v>403022</v>
      </c>
      <c r="J63" s="171">
        <f t="shared" si="13"/>
        <v>28900</v>
      </c>
      <c r="K63" s="201">
        <f>I63-G63</f>
        <v>37972.200000000012</v>
      </c>
      <c r="L63" s="79"/>
      <c r="M63" s="79"/>
      <c r="N63" s="79"/>
      <c r="O63" s="63"/>
      <c r="P63" s="63"/>
      <c r="Q63" s="79"/>
    </row>
    <row r="64" spans="1:25" s="17" customFormat="1" ht="15.6" x14ac:dyDescent="0.3">
      <c r="A64" s="28" t="s">
        <v>41</v>
      </c>
      <c r="B64" s="18" t="s">
        <v>73</v>
      </c>
      <c r="C64" s="59" t="s">
        <v>24</v>
      </c>
      <c r="D64" s="225"/>
      <c r="E64" s="231"/>
      <c r="F64" s="50">
        <v>243324</v>
      </c>
      <c r="G64" s="236"/>
      <c r="H64" s="48">
        <v>237933</v>
      </c>
      <c r="I64" s="240"/>
      <c r="J64" s="183">
        <f t="shared" si="13"/>
        <v>-5391</v>
      </c>
      <c r="K64" s="202"/>
      <c r="L64" s="59"/>
      <c r="M64" s="59"/>
      <c r="N64" s="59"/>
      <c r="O64" s="63"/>
      <c r="P64" s="63"/>
      <c r="Q64" s="59"/>
    </row>
    <row r="65" spans="1:25" s="11" customFormat="1" ht="15.6" x14ac:dyDescent="0.3">
      <c r="A65" s="28" t="s">
        <v>41</v>
      </c>
      <c r="B65" s="18" t="s">
        <v>74</v>
      </c>
      <c r="C65" s="59" t="s">
        <v>24</v>
      </c>
      <c r="D65" s="225"/>
      <c r="E65" s="231"/>
      <c r="F65" s="48">
        <v>44099</v>
      </c>
      <c r="G65" s="228"/>
      <c r="H65" s="48">
        <v>49916</v>
      </c>
      <c r="I65" s="212"/>
      <c r="J65" s="173">
        <f t="shared" si="13"/>
        <v>5817</v>
      </c>
      <c r="K65" s="202"/>
      <c r="L65" s="62"/>
      <c r="M65" s="62"/>
      <c r="N65" s="62"/>
      <c r="O65" s="63"/>
      <c r="P65" s="63"/>
      <c r="Q65" s="62"/>
      <c r="R65" s="9"/>
      <c r="S65" s="9"/>
      <c r="T65" s="9"/>
      <c r="U65" s="9"/>
      <c r="V65" s="9"/>
      <c r="W65" s="9"/>
      <c r="X65" s="9"/>
      <c r="Y65" s="9"/>
    </row>
    <row r="66" spans="1:25" s="11" customFormat="1" ht="16.2" thickBot="1" x14ac:dyDescent="0.35">
      <c r="A66" s="29" t="s">
        <v>41</v>
      </c>
      <c r="B66" s="14" t="s">
        <v>75</v>
      </c>
      <c r="C66" s="95" t="s">
        <v>24</v>
      </c>
      <c r="D66" s="226"/>
      <c r="E66" s="232"/>
      <c r="F66" s="52">
        <v>77626.8</v>
      </c>
      <c r="G66" s="229"/>
      <c r="H66" s="52">
        <v>86273</v>
      </c>
      <c r="I66" s="213"/>
      <c r="J66" s="184">
        <f t="shared" si="13"/>
        <v>8646.1999999999971</v>
      </c>
      <c r="K66" s="203"/>
      <c r="L66" s="85"/>
      <c r="M66" s="85"/>
      <c r="N66" s="85"/>
      <c r="O66" s="63"/>
      <c r="P66" s="63"/>
      <c r="Q66" s="85"/>
      <c r="R66" s="9"/>
      <c r="S66" s="9"/>
      <c r="T66" s="9"/>
      <c r="U66" s="9"/>
      <c r="V66" s="9"/>
      <c r="W66" s="9"/>
      <c r="X66" s="9"/>
      <c r="Y66" s="9"/>
    </row>
    <row r="67" spans="1:25" ht="16.2" thickBot="1" x14ac:dyDescent="0.35">
      <c r="A67" s="32" t="s">
        <v>42</v>
      </c>
      <c r="B67" s="13" t="s">
        <v>74</v>
      </c>
      <c r="C67" s="82" t="s">
        <v>24</v>
      </c>
      <c r="D67" s="83"/>
      <c r="E67" s="84">
        <v>102000</v>
      </c>
      <c r="F67" s="49">
        <v>56068</v>
      </c>
      <c r="G67" s="88">
        <f>F67</f>
        <v>56068</v>
      </c>
      <c r="H67" s="49">
        <v>51328</v>
      </c>
      <c r="I67" s="191">
        <f>H67</f>
        <v>51328</v>
      </c>
      <c r="J67" s="181">
        <f t="shared" si="13"/>
        <v>-4740</v>
      </c>
      <c r="K67" s="182">
        <f>I67-G67</f>
        <v>-4740</v>
      </c>
      <c r="L67" s="82"/>
      <c r="M67" s="82"/>
      <c r="N67" s="82"/>
      <c r="O67" s="63"/>
      <c r="P67" s="63"/>
      <c r="Q67" s="82"/>
    </row>
    <row r="68" spans="1:25" ht="15.6" x14ac:dyDescent="0.3">
      <c r="A68" s="27" t="s">
        <v>43</v>
      </c>
      <c r="B68" s="18" t="s">
        <v>76</v>
      </c>
      <c r="C68" s="59" t="s">
        <v>24</v>
      </c>
      <c r="D68" s="224"/>
      <c r="E68" s="230">
        <f>321240-72000+36000+17000+161000</f>
        <v>463240</v>
      </c>
      <c r="F68" s="50">
        <v>147500</v>
      </c>
      <c r="G68" s="236">
        <f>SUM(F68:F75)</f>
        <v>488000.00199999998</v>
      </c>
      <c r="H68" s="50">
        <v>150120</v>
      </c>
      <c r="I68" s="240">
        <f>SUM(H68:H75)</f>
        <v>484610</v>
      </c>
      <c r="J68" s="171">
        <f t="shared" si="13"/>
        <v>2620</v>
      </c>
      <c r="K68" s="204">
        <f>I68-G68</f>
        <v>-3390.0019999999786</v>
      </c>
      <c r="L68" s="59"/>
      <c r="M68" s="59"/>
      <c r="N68" s="59"/>
      <c r="O68" s="63"/>
      <c r="P68" s="63"/>
      <c r="Q68" s="59"/>
    </row>
    <row r="69" spans="1:25" s="11" customFormat="1" ht="15.6" x14ac:dyDescent="0.3">
      <c r="A69" s="28" t="s">
        <v>43</v>
      </c>
      <c r="B69" s="18" t="s">
        <v>77</v>
      </c>
      <c r="C69" s="59" t="s">
        <v>24</v>
      </c>
      <c r="D69" s="225"/>
      <c r="E69" s="231"/>
      <c r="F69" s="48">
        <v>11400</v>
      </c>
      <c r="G69" s="228"/>
      <c r="H69" s="48">
        <v>17400</v>
      </c>
      <c r="I69" s="212"/>
      <c r="J69" s="173">
        <f t="shared" si="13"/>
        <v>6000</v>
      </c>
      <c r="K69" s="205"/>
      <c r="L69" s="62"/>
      <c r="M69" s="62"/>
      <c r="N69" s="62"/>
      <c r="O69" s="63"/>
      <c r="P69" s="63"/>
      <c r="Q69" s="62"/>
      <c r="R69" s="9"/>
      <c r="S69" s="9"/>
      <c r="T69" s="9"/>
      <c r="U69" s="9"/>
      <c r="V69" s="9"/>
      <c r="W69" s="9"/>
      <c r="X69" s="9"/>
      <c r="Y69" s="9"/>
    </row>
    <row r="70" spans="1:25" s="11" customFormat="1" ht="15.6" x14ac:dyDescent="0.3">
      <c r="A70" s="28" t="s">
        <v>43</v>
      </c>
      <c r="B70" s="18" t="s">
        <v>78</v>
      </c>
      <c r="C70" s="59" t="s">
        <v>24</v>
      </c>
      <c r="D70" s="225"/>
      <c r="E70" s="231"/>
      <c r="F70" s="48">
        <v>62900</v>
      </c>
      <c r="G70" s="228"/>
      <c r="H70" s="48">
        <v>67400</v>
      </c>
      <c r="I70" s="212"/>
      <c r="J70" s="173">
        <f t="shared" si="13"/>
        <v>4500</v>
      </c>
      <c r="K70" s="205"/>
      <c r="L70" s="62"/>
      <c r="M70" s="62"/>
      <c r="N70" s="62"/>
      <c r="O70" s="63"/>
      <c r="P70" s="63"/>
      <c r="Q70" s="62"/>
      <c r="R70" s="9"/>
      <c r="S70" s="9"/>
      <c r="T70" s="9"/>
      <c r="U70" s="9"/>
      <c r="V70" s="9"/>
      <c r="W70" s="9"/>
      <c r="X70" s="9"/>
      <c r="Y70" s="9"/>
    </row>
    <row r="71" spans="1:25" s="11" customFormat="1" ht="15.6" x14ac:dyDescent="0.3">
      <c r="A71" s="28" t="s">
        <v>43</v>
      </c>
      <c r="B71" s="18" t="s">
        <v>79</v>
      </c>
      <c r="C71" s="59" t="s">
        <v>24</v>
      </c>
      <c r="D71" s="225"/>
      <c r="E71" s="231"/>
      <c r="F71" s="48">
        <v>111690</v>
      </c>
      <c r="G71" s="228"/>
      <c r="H71" s="48">
        <v>90720</v>
      </c>
      <c r="I71" s="212"/>
      <c r="J71" s="175">
        <f t="shared" si="13"/>
        <v>-20970</v>
      </c>
      <c r="K71" s="205"/>
      <c r="L71" s="62"/>
      <c r="M71" s="62"/>
      <c r="N71" s="62"/>
      <c r="O71" s="63"/>
      <c r="P71" s="63"/>
      <c r="Q71" s="62"/>
      <c r="R71" s="9"/>
      <c r="S71" s="9"/>
      <c r="T71" s="9"/>
      <c r="U71" s="9"/>
      <c r="V71" s="9"/>
      <c r="W71" s="9"/>
      <c r="X71" s="9"/>
      <c r="Y71" s="9"/>
    </row>
    <row r="72" spans="1:25" s="11" customFormat="1" ht="15.6" x14ac:dyDescent="0.3">
      <c r="A72" s="28" t="s">
        <v>43</v>
      </c>
      <c r="B72" s="18" t="s">
        <v>80</v>
      </c>
      <c r="C72" s="59" t="s">
        <v>24</v>
      </c>
      <c r="D72" s="225"/>
      <c r="E72" s="231"/>
      <c r="F72" s="48">
        <v>72700.002000000008</v>
      </c>
      <c r="G72" s="228"/>
      <c r="H72" s="48">
        <v>83200</v>
      </c>
      <c r="I72" s="212"/>
      <c r="J72" s="173">
        <f t="shared" si="13"/>
        <v>10499.997999999992</v>
      </c>
      <c r="K72" s="205"/>
      <c r="L72" s="62"/>
      <c r="M72" s="62"/>
      <c r="N72" s="62"/>
      <c r="O72" s="63"/>
      <c r="P72" s="63"/>
      <c r="Q72" s="62"/>
      <c r="R72" s="9"/>
      <c r="S72" s="9"/>
      <c r="T72" s="9"/>
      <c r="U72" s="9"/>
      <c r="V72" s="9"/>
      <c r="W72" s="9"/>
      <c r="X72" s="9"/>
      <c r="Y72" s="9"/>
    </row>
    <row r="73" spans="1:25" s="11" customFormat="1" ht="15.6" x14ac:dyDescent="0.3">
      <c r="A73" s="28" t="s">
        <v>43</v>
      </c>
      <c r="B73" s="18" t="s">
        <v>81</v>
      </c>
      <c r="C73" s="59" t="s">
        <v>24</v>
      </c>
      <c r="D73" s="225"/>
      <c r="E73" s="231"/>
      <c r="F73" s="48">
        <v>34050</v>
      </c>
      <c r="G73" s="228"/>
      <c r="H73" s="48">
        <v>27250</v>
      </c>
      <c r="I73" s="212"/>
      <c r="J73" s="175">
        <f t="shared" si="13"/>
        <v>-6800</v>
      </c>
      <c r="K73" s="205"/>
      <c r="L73" s="62"/>
      <c r="M73" s="62"/>
      <c r="N73" s="62"/>
      <c r="O73" s="63"/>
      <c r="P73" s="63"/>
      <c r="Q73" s="62"/>
      <c r="R73" s="9"/>
      <c r="S73" s="9"/>
      <c r="T73" s="9"/>
      <c r="U73" s="9"/>
      <c r="V73" s="9"/>
      <c r="W73" s="9"/>
      <c r="X73" s="9"/>
      <c r="Y73" s="9"/>
    </row>
    <row r="74" spans="1:25" s="15" customFormat="1" ht="15.6" x14ac:dyDescent="0.3">
      <c r="A74" s="28" t="s">
        <v>43</v>
      </c>
      <c r="B74" s="18" t="s">
        <v>82</v>
      </c>
      <c r="C74" s="59" t="s">
        <v>24</v>
      </c>
      <c r="D74" s="225"/>
      <c r="E74" s="231"/>
      <c r="F74" s="48">
        <v>25000</v>
      </c>
      <c r="G74" s="228"/>
      <c r="H74" s="48">
        <v>24560</v>
      </c>
      <c r="I74" s="212"/>
      <c r="J74" s="175">
        <f t="shared" si="13"/>
        <v>-440</v>
      </c>
      <c r="K74" s="205"/>
      <c r="L74" s="62"/>
      <c r="M74" s="62"/>
      <c r="N74" s="62"/>
      <c r="O74" s="63"/>
      <c r="P74" s="63"/>
      <c r="Q74" s="62"/>
      <c r="R74" s="9"/>
      <c r="S74" s="9"/>
      <c r="T74" s="9"/>
      <c r="U74" s="9"/>
      <c r="V74" s="9"/>
      <c r="W74" s="9"/>
      <c r="X74" s="9"/>
      <c r="Y74" s="9"/>
    </row>
    <row r="75" spans="1:25" s="15" customFormat="1" ht="16.2" thickBot="1" x14ac:dyDescent="0.35">
      <c r="A75" s="29" t="s">
        <v>43</v>
      </c>
      <c r="B75" s="18" t="s">
        <v>69</v>
      </c>
      <c r="C75" s="95" t="s">
        <v>24</v>
      </c>
      <c r="D75" s="226"/>
      <c r="E75" s="232"/>
      <c r="F75" s="48">
        <v>22760</v>
      </c>
      <c r="G75" s="228"/>
      <c r="H75" s="48">
        <v>23960</v>
      </c>
      <c r="I75" s="212"/>
      <c r="J75" s="184">
        <f t="shared" si="13"/>
        <v>1200</v>
      </c>
      <c r="K75" s="206"/>
      <c r="L75" s="62"/>
      <c r="M75" s="62"/>
      <c r="N75" s="62"/>
      <c r="O75" s="63"/>
      <c r="P75" s="63"/>
      <c r="Q75" s="62"/>
      <c r="R75" s="9"/>
      <c r="S75" s="9"/>
      <c r="T75" s="9"/>
      <c r="U75" s="9"/>
      <c r="V75" s="9"/>
      <c r="W75" s="9"/>
      <c r="X75" s="9"/>
      <c r="Y75" s="9"/>
    </row>
    <row r="76" spans="1:25" ht="15.6" x14ac:dyDescent="0.3">
      <c r="A76" s="30" t="s">
        <v>44</v>
      </c>
      <c r="B76" s="12" t="s">
        <v>83</v>
      </c>
      <c r="C76" s="59" t="s">
        <v>24</v>
      </c>
      <c r="D76" s="224"/>
      <c r="E76" s="230">
        <v>191376</v>
      </c>
      <c r="F76" s="51">
        <v>179723</v>
      </c>
      <c r="G76" s="227">
        <f>SUM(F76:F78)</f>
        <v>192263</v>
      </c>
      <c r="H76" s="51">
        <v>155340</v>
      </c>
      <c r="I76" s="211">
        <f>SUM(H76:H78)</f>
        <v>165480</v>
      </c>
      <c r="J76" s="177">
        <f t="shared" si="13"/>
        <v>-24383</v>
      </c>
      <c r="K76" s="204">
        <f>I76-G76</f>
        <v>-26783</v>
      </c>
      <c r="L76" s="79"/>
      <c r="M76" s="79"/>
      <c r="N76" s="79"/>
      <c r="O76" s="63"/>
      <c r="P76" s="63"/>
      <c r="Q76" s="79"/>
    </row>
    <row r="77" spans="1:25" s="11" customFormat="1" ht="15.6" x14ac:dyDescent="0.3">
      <c r="A77" s="33" t="s">
        <v>44</v>
      </c>
      <c r="B77" s="18" t="s">
        <v>84</v>
      </c>
      <c r="C77" s="59" t="s">
        <v>24</v>
      </c>
      <c r="D77" s="225"/>
      <c r="E77" s="231"/>
      <c r="F77" s="48">
        <v>5400</v>
      </c>
      <c r="G77" s="228"/>
      <c r="H77" s="48">
        <v>3000</v>
      </c>
      <c r="I77" s="212"/>
      <c r="J77" s="175">
        <f t="shared" si="13"/>
        <v>-2400</v>
      </c>
      <c r="K77" s="205"/>
      <c r="L77" s="62"/>
      <c r="M77" s="62"/>
      <c r="N77" s="62"/>
      <c r="O77" s="63"/>
      <c r="P77" s="63"/>
      <c r="Q77" s="62"/>
      <c r="R77" s="9"/>
      <c r="S77" s="9"/>
      <c r="T77" s="9"/>
      <c r="U77" s="9"/>
      <c r="V77" s="9"/>
      <c r="W77" s="9"/>
      <c r="X77" s="9"/>
      <c r="Y77" s="9"/>
    </row>
    <row r="78" spans="1:25" s="11" customFormat="1" ht="16.2" thickBot="1" x14ac:dyDescent="0.35">
      <c r="A78" s="31" t="s">
        <v>44</v>
      </c>
      <c r="B78" s="14" t="s">
        <v>63</v>
      </c>
      <c r="C78" s="95" t="s">
        <v>24</v>
      </c>
      <c r="D78" s="226"/>
      <c r="E78" s="232"/>
      <c r="F78" s="52">
        <v>7140</v>
      </c>
      <c r="G78" s="229"/>
      <c r="H78" s="52">
        <v>7140</v>
      </c>
      <c r="I78" s="213"/>
      <c r="J78" s="176">
        <f t="shared" si="13"/>
        <v>0</v>
      </c>
      <c r="K78" s="206"/>
      <c r="L78" s="85"/>
      <c r="M78" s="85"/>
      <c r="N78" s="85"/>
      <c r="O78" s="63"/>
      <c r="P78" s="63"/>
      <c r="Q78" s="85"/>
      <c r="R78" s="9"/>
      <c r="S78" s="9"/>
      <c r="T78" s="9"/>
      <c r="U78" s="9"/>
      <c r="V78" s="9"/>
      <c r="W78" s="9"/>
      <c r="X78" s="9"/>
      <c r="Y78" s="9"/>
    </row>
    <row r="79" spans="1:25" ht="14.4" customHeight="1" x14ac:dyDescent="0.3">
      <c r="A79" s="27" t="s">
        <v>45</v>
      </c>
      <c r="B79" s="12" t="s">
        <v>85</v>
      </c>
      <c r="C79" s="59" t="s">
        <v>24</v>
      </c>
      <c r="D79" s="224"/>
      <c r="E79" s="230">
        <v>72000</v>
      </c>
      <c r="F79" s="51">
        <v>18000</v>
      </c>
      <c r="G79" s="227">
        <f>SUM(F79:F80)</f>
        <v>120400</v>
      </c>
      <c r="H79" s="80">
        <v>18000</v>
      </c>
      <c r="I79" s="211">
        <f>SUM(H79:H80)</f>
        <v>79300</v>
      </c>
      <c r="J79" s="177">
        <f t="shared" si="13"/>
        <v>0</v>
      </c>
      <c r="K79" s="204">
        <f>I79-G79</f>
        <v>-41100</v>
      </c>
      <c r="L79" s="79"/>
      <c r="M79" s="79"/>
      <c r="N79" s="79"/>
      <c r="O79" s="63"/>
      <c r="P79" s="63"/>
      <c r="Q79" s="79"/>
    </row>
    <row r="80" spans="1:25" s="11" customFormat="1" ht="14.4" customHeight="1" thickBot="1" x14ac:dyDescent="0.35">
      <c r="A80" s="29" t="s">
        <v>45</v>
      </c>
      <c r="B80" s="14" t="s">
        <v>86</v>
      </c>
      <c r="C80" s="95" t="s">
        <v>24</v>
      </c>
      <c r="D80" s="226"/>
      <c r="E80" s="232"/>
      <c r="F80" s="53">
        <v>102400</v>
      </c>
      <c r="G80" s="229"/>
      <c r="H80" s="85">
        <v>61300</v>
      </c>
      <c r="I80" s="213"/>
      <c r="J80" s="176">
        <f t="shared" si="13"/>
        <v>-41100</v>
      </c>
      <c r="K80" s="206"/>
      <c r="L80" s="85"/>
      <c r="M80" s="85"/>
      <c r="N80" s="85"/>
      <c r="O80" s="63"/>
      <c r="P80" s="63"/>
      <c r="Q80" s="85"/>
      <c r="R80" s="9"/>
      <c r="S80" s="9"/>
      <c r="T80" s="9"/>
      <c r="U80" s="9"/>
      <c r="V80" s="9"/>
      <c r="W80" s="9"/>
      <c r="X80" s="9"/>
      <c r="Y80" s="9"/>
    </row>
    <row r="81" spans="1:25" ht="15.6" x14ac:dyDescent="0.3">
      <c r="A81" s="30" t="s">
        <v>46</v>
      </c>
      <c r="B81" s="12" t="s">
        <v>87</v>
      </c>
      <c r="C81" s="59" t="s">
        <v>24</v>
      </c>
      <c r="D81" s="224"/>
      <c r="E81" s="230">
        <v>65000</v>
      </c>
      <c r="F81" s="54">
        <v>63740</v>
      </c>
      <c r="G81" s="234">
        <f>SUM(F81:F82)</f>
        <v>72650</v>
      </c>
      <c r="H81" s="80">
        <v>59510</v>
      </c>
      <c r="I81" s="217">
        <f>SUM(H81:H82)</f>
        <v>68420</v>
      </c>
      <c r="J81" s="177">
        <f t="shared" si="13"/>
        <v>-4230</v>
      </c>
      <c r="K81" s="207">
        <f>I81-G81</f>
        <v>-4230</v>
      </c>
      <c r="L81" s="79"/>
      <c r="M81" s="79"/>
      <c r="N81" s="79"/>
      <c r="O81" s="63"/>
      <c r="P81" s="63"/>
      <c r="Q81" s="79"/>
    </row>
    <row r="82" spans="1:25" s="11" customFormat="1" ht="16.2" thickBot="1" x14ac:dyDescent="0.35">
      <c r="A82" s="31" t="s">
        <v>46</v>
      </c>
      <c r="B82" s="14" t="s">
        <v>88</v>
      </c>
      <c r="C82" s="95" t="s">
        <v>24</v>
      </c>
      <c r="D82" s="226"/>
      <c r="E82" s="232"/>
      <c r="F82" s="55">
        <v>8910</v>
      </c>
      <c r="G82" s="229"/>
      <c r="H82" s="85">
        <v>8910</v>
      </c>
      <c r="I82" s="213"/>
      <c r="J82" s="176">
        <f t="shared" si="13"/>
        <v>0</v>
      </c>
      <c r="K82" s="208"/>
      <c r="L82" s="85"/>
      <c r="M82" s="85"/>
      <c r="N82" s="85"/>
      <c r="O82" s="63"/>
      <c r="P82" s="63"/>
      <c r="Q82" s="85"/>
      <c r="R82" s="9"/>
      <c r="S82" s="9"/>
      <c r="T82" s="9"/>
      <c r="U82" s="9"/>
      <c r="V82" s="9"/>
      <c r="W82" s="9"/>
      <c r="X82" s="9"/>
      <c r="Y82" s="9"/>
    </row>
    <row r="83" spans="1:25" ht="15.6" x14ac:dyDescent="0.3">
      <c r="A83" s="27" t="s">
        <v>47</v>
      </c>
      <c r="B83" s="12" t="s">
        <v>89</v>
      </c>
      <c r="C83" s="59" t="s">
        <v>24</v>
      </c>
      <c r="D83" s="224"/>
      <c r="E83" s="230">
        <v>136000</v>
      </c>
      <c r="F83" s="54">
        <v>5600</v>
      </c>
      <c r="G83" s="234">
        <f>SUM(F83:F90)</f>
        <v>210575</v>
      </c>
      <c r="H83" s="80">
        <v>6800</v>
      </c>
      <c r="I83" s="217">
        <f>SUM(H83:H90)</f>
        <v>200265</v>
      </c>
      <c r="J83" s="171">
        <f t="shared" si="13"/>
        <v>1200</v>
      </c>
      <c r="K83" s="204">
        <f>I83-G83</f>
        <v>-10310</v>
      </c>
      <c r="L83" s="79"/>
      <c r="M83" s="79"/>
      <c r="N83" s="79"/>
      <c r="O83" s="63"/>
      <c r="P83" s="63"/>
      <c r="Q83" s="79"/>
    </row>
    <row r="84" spans="1:25" s="17" customFormat="1" ht="15.6" x14ac:dyDescent="0.3">
      <c r="A84" s="28"/>
      <c r="B84" s="18" t="s">
        <v>184</v>
      </c>
      <c r="C84" s="59" t="s">
        <v>24</v>
      </c>
      <c r="D84" s="225"/>
      <c r="E84" s="231"/>
      <c r="F84" s="56"/>
      <c r="G84" s="235"/>
      <c r="H84" s="62">
        <v>4000</v>
      </c>
      <c r="I84" s="239"/>
      <c r="J84" s="173">
        <f t="shared" si="13"/>
        <v>4000</v>
      </c>
      <c r="K84" s="205"/>
      <c r="L84" s="59"/>
      <c r="M84" s="59"/>
      <c r="N84" s="59"/>
      <c r="O84" s="63"/>
      <c r="P84" s="63"/>
      <c r="Q84" s="59"/>
    </row>
    <row r="85" spans="1:25" s="11" customFormat="1" ht="15.6" x14ac:dyDescent="0.3">
      <c r="A85" s="28" t="s">
        <v>47</v>
      </c>
      <c r="B85" s="18" t="s">
        <v>90</v>
      </c>
      <c r="C85" s="59" t="s">
        <v>24</v>
      </c>
      <c r="D85" s="225"/>
      <c r="E85" s="231"/>
      <c r="F85" s="56">
        <v>8250</v>
      </c>
      <c r="G85" s="228"/>
      <c r="H85" s="62">
        <f>2250+6000</f>
        <v>8250</v>
      </c>
      <c r="I85" s="212"/>
      <c r="J85" s="175">
        <f t="shared" si="13"/>
        <v>0</v>
      </c>
      <c r="K85" s="205"/>
      <c r="L85" s="62"/>
      <c r="M85" s="62"/>
      <c r="N85" s="62"/>
      <c r="O85" s="63"/>
      <c r="P85" s="63"/>
      <c r="Q85" s="62"/>
      <c r="R85" s="9"/>
      <c r="S85" s="9"/>
      <c r="T85" s="9"/>
      <c r="U85" s="9"/>
      <c r="V85" s="9"/>
      <c r="W85" s="9"/>
      <c r="X85" s="9"/>
      <c r="Y85" s="9"/>
    </row>
    <row r="86" spans="1:25" s="17" customFormat="1" ht="15.6" x14ac:dyDescent="0.3">
      <c r="A86" s="28"/>
      <c r="B86" s="18" t="s">
        <v>185</v>
      </c>
      <c r="C86" s="59" t="s">
        <v>24</v>
      </c>
      <c r="D86" s="225"/>
      <c r="E86" s="231"/>
      <c r="F86" s="56"/>
      <c r="G86" s="228"/>
      <c r="H86" s="62">
        <f>3540+240+360+1200</f>
        <v>5340</v>
      </c>
      <c r="I86" s="212"/>
      <c r="J86" s="173">
        <f t="shared" ref="J86:J88" si="14">H86-F86</f>
        <v>5340</v>
      </c>
      <c r="K86" s="205"/>
      <c r="L86" s="62"/>
      <c r="M86" s="62"/>
      <c r="N86" s="62"/>
      <c r="O86" s="63"/>
      <c r="P86" s="63"/>
      <c r="Q86" s="62"/>
      <c r="R86" s="9"/>
      <c r="S86" s="9"/>
      <c r="T86" s="9"/>
      <c r="U86" s="9"/>
      <c r="V86" s="9"/>
      <c r="W86" s="9"/>
      <c r="X86" s="9"/>
      <c r="Y86" s="9"/>
    </row>
    <row r="87" spans="1:25" s="11" customFormat="1" ht="15.6" x14ac:dyDescent="0.3">
      <c r="A87" s="28" t="s">
        <v>47</v>
      </c>
      <c r="B87" s="18" t="s">
        <v>91</v>
      </c>
      <c r="C87" s="59" t="s">
        <v>24</v>
      </c>
      <c r="D87" s="225"/>
      <c r="E87" s="231"/>
      <c r="F87" s="56">
        <v>132200</v>
      </c>
      <c r="G87" s="228"/>
      <c r="H87" s="62">
        <f>22000+9600+14400+4800+5600+9000+1800+10500+5400+5400+1500+1000+2500+600+2000+2000+2400+5000+1000+400+250+500+2400+500+800</f>
        <v>111350</v>
      </c>
      <c r="I87" s="212"/>
      <c r="J87" s="175">
        <f t="shared" si="14"/>
        <v>-20850</v>
      </c>
      <c r="K87" s="205"/>
      <c r="L87" s="62"/>
      <c r="M87" s="62"/>
      <c r="N87" s="62"/>
      <c r="O87" s="63"/>
      <c r="P87" s="63"/>
      <c r="Q87" s="62"/>
      <c r="R87" s="9"/>
      <c r="S87" s="9"/>
      <c r="T87" s="9"/>
      <c r="U87" s="9"/>
      <c r="V87" s="9"/>
      <c r="W87" s="9"/>
      <c r="X87" s="9"/>
      <c r="Y87" s="9"/>
    </row>
    <row r="88" spans="1:25" s="11" customFormat="1" ht="27.6" x14ac:dyDescent="0.3">
      <c r="A88" s="28" t="s">
        <v>47</v>
      </c>
      <c r="B88" s="18" t="s">
        <v>92</v>
      </c>
      <c r="C88" s="170" t="s">
        <v>24</v>
      </c>
      <c r="D88" s="225"/>
      <c r="E88" s="231"/>
      <c r="F88" s="56">
        <v>42035</v>
      </c>
      <c r="G88" s="228"/>
      <c r="H88" s="86">
        <f>4200+22600+2080+2205+4350+3775+200+225+2400</f>
        <v>42035</v>
      </c>
      <c r="I88" s="212"/>
      <c r="J88" s="178">
        <f t="shared" si="14"/>
        <v>0</v>
      </c>
      <c r="K88" s="205"/>
      <c r="L88" s="62"/>
      <c r="M88" s="62"/>
      <c r="N88" s="62"/>
      <c r="O88" s="63"/>
      <c r="P88" s="63"/>
      <c r="Q88" s="62"/>
      <c r="R88" s="9"/>
      <c r="S88" s="9"/>
      <c r="T88" s="9"/>
      <c r="U88" s="9"/>
      <c r="V88" s="9"/>
      <c r="W88" s="9"/>
      <c r="X88" s="9"/>
      <c r="Y88" s="9"/>
    </row>
    <row r="89" spans="1:25" s="11" customFormat="1" ht="15.6" x14ac:dyDescent="0.3">
      <c r="A89" s="28" t="s">
        <v>47</v>
      </c>
      <c r="B89" s="18" t="s">
        <v>93</v>
      </c>
      <c r="C89" s="59" t="s">
        <v>24</v>
      </c>
      <c r="D89" s="225"/>
      <c r="E89" s="231"/>
      <c r="F89" s="56">
        <v>12190</v>
      </c>
      <c r="G89" s="228"/>
      <c r="H89" s="62">
        <f>6030+4410+1750</f>
        <v>12190</v>
      </c>
      <c r="I89" s="212"/>
      <c r="J89" s="175">
        <f t="shared" ref="J89:J115" si="15">H89-F89</f>
        <v>0</v>
      </c>
      <c r="K89" s="205"/>
      <c r="L89" s="62"/>
      <c r="M89" s="62"/>
      <c r="N89" s="62"/>
      <c r="O89" s="63"/>
      <c r="P89" s="63"/>
      <c r="Q89" s="62"/>
      <c r="R89" s="9"/>
      <c r="S89" s="9"/>
      <c r="T89" s="9"/>
      <c r="U89" s="9"/>
      <c r="V89" s="9"/>
      <c r="W89" s="9"/>
      <c r="X89" s="9"/>
      <c r="Y89" s="9"/>
    </row>
    <row r="90" spans="1:25" s="11" customFormat="1" ht="16.2" thickBot="1" x14ac:dyDescent="0.35">
      <c r="A90" s="29" t="s">
        <v>47</v>
      </c>
      <c r="B90" s="14" t="s">
        <v>94</v>
      </c>
      <c r="C90" s="95" t="s">
        <v>24</v>
      </c>
      <c r="D90" s="226"/>
      <c r="E90" s="232"/>
      <c r="F90" s="55">
        <v>10300</v>
      </c>
      <c r="G90" s="229"/>
      <c r="H90" s="85">
        <f>10300</f>
        <v>10300</v>
      </c>
      <c r="I90" s="213"/>
      <c r="J90" s="176">
        <f t="shared" si="15"/>
        <v>0</v>
      </c>
      <c r="K90" s="206"/>
      <c r="L90" s="85"/>
      <c r="M90" s="85"/>
      <c r="N90" s="85"/>
      <c r="O90" s="63"/>
      <c r="P90" s="63"/>
      <c r="Q90" s="85"/>
      <c r="R90" s="9"/>
      <c r="S90" s="9"/>
      <c r="T90" s="9"/>
      <c r="U90" s="9"/>
      <c r="V90" s="9"/>
      <c r="W90" s="9"/>
      <c r="X90" s="9"/>
      <c r="Y90" s="9"/>
    </row>
    <row r="91" spans="1:25" ht="15.6" x14ac:dyDescent="0.3">
      <c r="A91" s="30" t="s">
        <v>48</v>
      </c>
      <c r="B91" s="12" t="s">
        <v>183</v>
      </c>
      <c r="C91" s="59" t="s">
        <v>24</v>
      </c>
      <c r="D91" s="224"/>
      <c r="E91" s="230">
        <v>431000</v>
      </c>
      <c r="F91" s="54">
        <v>0</v>
      </c>
      <c r="G91" s="222">
        <f>SUM(F91:F96)</f>
        <v>446453</v>
      </c>
      <c r="H91" s="168">
        <v>20000</v>
      </c>
      <c r="I91" s="214">
        <f>SUM(H91:H96)</f>
        <v>495186</v>
      </c>
      <c r="J91" s="171">
        <f t="shared" si="15"/>
        <v>20000</v>
      </c>
      <c r="K91" s="201">
        <f>I91-G91</f>
        <v>48733</v>
      </c>
      <c r="L91" s="79"/>
      <c r="M91" s="79"/>
      <c r="N91" s="79"/>
      <c r="O91" s="63"/>
      <c r="P91" s="63"/>
      <c r="Q91" s="79"/>
    </row>
    <row r="92" spans="1:25" s="17" customFormat="1" ht="15.6" x14ac:dyDescent="0.3">
      <c r="A92" s="33" t="s">
        <v>48</v>
      </c>
      <c r="B92" s="18" t="s">
        <v>89</v>
      </c>
      <c r="C92" s="59" t="s">
        <v>24</v>
      </c>
      <c r="D92" s="225"/>
      <c r="E92" s="231"/>
      <c r="F92" s="56">
        <v>3520</v>
      </c>
      <c r="G92" s="223"/>
      <c r="H92" s="165">
        <v>14000</v>
      </c>
      <c r="I92" s="215"/>
      <c r="J92" s="172">
        <f t="shared" si="15"/>
        <v>10480</v>
      </c>
      <c r="K92" s="202"/>
      <c r="L92" s="59"/>
      <c r="M92" s="59"/>
      <c r="N92" s="59"/>
      <c r="O92" s="63"/>
      <c r="P92" s="63"/>
      <c r="Q92" s="59"/>
    </row>
    <row r="93" spans="1:25" s="11" customFormat="1" ht="15.6" x14ac:dyDescent="0.3">
      <c r="A93" s="33" t="s">
        <v>48</v>
      </c>
      <c r="B93" s="18" t="s">
        <v>95</v>
      </c>
      <c r="C93" s="59" t="s">
        <v>24</v>
      </c>
      <c r="D93" s="225"/>
      <c r="E93" s="231"/>
      <c r="F93" s="56">
        <v>279642</v>
      </c>
      <c r="G93" s="223"/>
      <c r="H93" s="165">
        <f>1200+600+68400+1000+3500+27960+25300+35400+3540+11507+13528+5655+4875+5265+7052+1380+50880</f>
        <v>267042</v>
      </c>
      <c r="I93" s="215"/>
      <c r="J93" s="175">
        <f t="shared" si="15"/>
        <v>-12600</v>
      </c>
      <c r="K93" s="202"/>
      <c r="L93" s="62"/>
      <c r="M93" s="62"/>
      <c r="N93" s="62"/>
      <c r="O93" s="63"/>
      <c r="P93" s="63"/>
      <c r="Q93" s="62"/>
      <c r="R93" s="9"/>
      <c r="S93" s="9"/>
      <c r="T93" s="9"/>
      <c r="U93" s="9"/>
      <c r="V93" s="9"/>
      <c r="W93" s="9"/>
      <c r="X93" s="9"/>
      <c r="Y93" s="9"/>
    </row>
    <row r="94" spans="1:25" s="11" customFormat="1" ht="15.6" x14ac:dyDescent="0.3">
      <c r="A94" s="33" t="s">
        <v>48</v>
      </c>
      <c r="B94" s="18" t="s">
        <v>96</v>
      </c>
      <c r="C94" s="59" t="s">
        <v>24</v>
      </c>
      <c r="D94" s="225"/>
      <c r="E94" s="231"/>
      <c r="F94" s="56">
        <v>79975</v>
      </c>
      <c r="G94" s="223"/>
      <c r="H94" s="165">
        <f>1800+6000+1120+6400+105+5180+2640+2200+1005+1600+1820+8600+630+9620+1760+4400+2010+1600+6400+900+735+3400+140+800+1200+2627+660+825+2948+2560+5500+1800+210+1000+70+925+660+825+1500+792+990+871+1200+800+20000</f>
        <v>118828</v>
      </c>
      <c r="I94" s="215"/>
      <c r="J94" s="173">
        <f>H94-F94</f>
        <v>38853</v>
      </c>
      <c r="K94" s="202"/>
      <c r="L94" s="62"/>
      <c r="M94" s="62"/>
      <c r="N94" s="62"/>
      <c r="O94" s="63"/>
      <c r="P94" s="63"/>
      <c r="Q94" s="62"/>
      <c r="R94" s="9"/>
      <c r="S94" s="9"/>
      <c r="T94" s="9"/>
      <c r="U94" s="9"/>
      <c r="V94" s="9"/>
      <c r="W94" s="9"/>
      <c r="X94" s="9"/>
      <c r="Y94" s="9"/>
    </row>
    <row r="95" spans="1:25" s="11" customFormat="1" ht="15.6" x14ac:dyDescent="0.3">
      <c r="A95" s="33" t="s">
        <v>48</v>
      </c>
      <c r="B95" s="18" t="s">
        <v>97</v>
      </c>
      <c r="C95" s="59" t="s">
        <v>24</v>
      </c>
      <c r="D95" s="225"/>
      <c r="E95" s="231"/>
      <c r="F95" s="56">
        <v>63316</v>
      </c>
      <c r="G95" s="223"/>
      <c r="H95" s="165">
        <f>400+6720+1000+3000+1000+4500+2640+1000+300+400+12768+1000+3000+1000+5000+4500+6720+1000+300+500+1000+400+3168+1000+500+500</f>
        <v>63316</v>
      </c>
      <c r="I95" s="215"/>
      <c r="J95" s="175">
        <f t="shared" si="15"/>
        <v>0</v>
      </c>
      <c r="K95" s="202"/>
      <c r="L95" s="62"/>
      <c r="M95" s="62"/>
      <c r="N95" s="62"/>
      <c r="O95" s="63"/>
      <c r="P95" s="63"/>
      <c r="Q95" s="62"/>
      <c r="R95" s="9"/>
      <c r="S95" s="9"/>
      <c r="T95" s="9"/>
      <c r="U95" s="9"/>
      <c r="V95" s="9"/>
      <c r="W95" s="9"/>
      <c r="X95" s="9"/>
      <c r="Y95" s="9"/>
    </row>
    <row r="96" spans="1:25" s="11" customFormat="1" ht="16.2" thickBot="1" x14ac:dyDescent="0.35">
      <c r="A96" s="31" t="s">
        <v>48</v>
      </c>
      <c r="B96" s="14" t="s">
        <v>98</v>
      </c>
      <c r="C96" s="95" t="s">
        <v>24</v>
      </c>
      <c r="D96" s="226"/>
      <c r="E96" s="232"/>
      <c r="F96" s="89">
        <v>20000</v>
      </c>
      <c r="G96" s="233"/>
      <c r="H96" s="166">
        <v>12000</v>
      </c>
      <c r="I96" s="216"/>
      <c r="J96" s="176">
        <f t="shared" si="15"/>
        <v>-8000</v>
      </c>
      <c r="K96" s="203"/>
      <c r="L96" s="85"/>
      <c r="M96" s="85"/>
      <c r="N96" s="85"/>
      <c r="O96" s="63"/>
      <c r="P96" s="63"/>
      <c r="Q96" s="85"/>
      <c r="R96" s="9"/>
      <c r="S96" s="9"/>
      <c r="T96" s="9"/>
      <c r="U96" s="9"/>
      <c r="V96" s="9"/>
      <c r="W96" s="9"/>
      <c r="X96" s="9"/>
      <c r="Y96" s="9"/>
    </row>
    <row r="97" spans="1:25" ht="15.6" x14ac:dyDescent="0.3">
      <c r="A97" s="27" t="s">
        <v>49</v>
      </c>
      <c r="B97" s="90" t="s">
        <v>99</v>
      </c>
      <c r="C97" s="59" t="s">
        <v>24</v>
      </c>
      <c r="D97" s="224"/>
      <c r="E97" s="230">
        <v>265000</v>
      </c>
      <c r="F97" s="91">
        <v>14400</v>
      </c>
      <c r="G97" s="222">
        <f>SUM(F97:F103)</f>
        <v>286150</v>
      </c>
      <c r="H97" s="91">
        <v>14400</v>
      </c>
      <c r="I97" s="214">
        <f>SUM(H97:H103)</f>
        <v>424190</v>
      </c>
      <c r="J97" s="177">
        <f t="shared" si="15"/>
        <v>0</v>
      </c>
      <c r="K97" s="201">
        <f>I97-G97</f>
        <v>138040</v>
      </c>
      <c r="L97" s="79"/>
      <c r="M97" s="79"/>
      <c r="N97" s="79"/>
      <c r="O97" s="63"/>
      <c r="P97" s="63"/>
      <c r="Q97" s="79"/>
    </row>
    <row r="98" spans="1:25" s="11" customFormat="1" ht="15.6" x14ac:dyDescent="0.3">
      <c r="A98" s="28" t="s">
        <v>49</v>
      </c>
      <c r="B98" s="92" t="s">
        <v>58</v>
      </c>
      <c r="C98" s="59" t="s">
        <v>24</v>
      </c>
      <c r="D98" s="225"/>
      <c r="E98" s="231"/>
      <c r="F98" s="93">
        <v>8400</v>
      </c>
      <c r="G98" s="223"/>
      <c r="H98" s="93">
        <v>8400</v>
      </c>
      <c r="I98" s="215"/>
      <c r="J98" s="175">
        <f t="shared" si="15"/>
        <v>0</v>
      </c>
      <c r="K98" s="202"/>
      <c r="L98" s="62"/>
      <c r="M98" s="62"/>
      <c r="N98" s="62"/>
      <c r="O98" s="63"/>
      <c r="P98" s="63"/>
      <c r="Q98" s="62"/>
      <c r="R98" s="9"/>
      <c r="S98" s="9"/>
      <c r="T98" s="9"/>
      <c r="U98" s="9"/>
      <c r="V98" s="9"/>
      <c r="W98" s="9"/>
      <c r="X98" s="9"/>
      <c r="Y98" s="9"/>
    </row>
    <row r="99" spans="1:25" s="11" customFormat="1" ht="15.6" x14ac:dyDescent="0.3">
      <c r="A99" s="28" t="s">
        <v>49</v>
      </c>
      <c r="B99" s="92" t="s">
        <v>100</v>
      </c>
      <c r="C99" s="59" t="s">
        <v>24</v>
      </c>
      <c r="D99" s="225"/>
      <c r="E99" s="231"/>
      <c r="F99" s="93">
        <v>37500</v>
      </c>
      <c r="G99" s="223"/>
      <c r="H99" s="93">
        <v>37500</v>
      </c>
      <c r="I99" s="215"/>
      <c r="J99" s="175">
        <f t="shared" si="15"/>
        <v>0</v>
      </c>
      <c r="K99" s="202"/>
      <c r="L99" s="62"/>
      <c r="M99" s="62"/>
      <c r="N99" s="62"/>
      <c r="O99" s="63"/>
      <c r="P99" s="63"/>
      <c r="Q99" s="62"/>
      <c r="R99" s="9"/>
      <c r="S99" s="9"/>
      <c r="T99" s="9"/>
      <c r="U99" s="9"/>
      <c r="V99" s="9"/>
      <c r="W99" s="9"/>
      <c r="X99" s="9"/>
      <c r="Y99" s="9"/>
    </row>
    <row r="100" spans="1:25" s="11" customFormat="1" ht="15.6" x14ac:dyDescent="0.3">
      <c r="A100" s="28" t="s">
        <v>49</v>
      </c>
      <c r="B100" s="92" t="s">
        <v>101</v>
      </c>
      <c r="C100" s="59" t="s">
        <v>24</v>
      </c>
      <c r="D100" s="225"/>
      <c r="E100" s="231"/>
      <c r="F100" s="93">
        <v>105800</v>
      </c>
      <c r="G100" s="223"/>
      <c r="H100" s="93">
        <v>216050</v>
      </c>
      <c r="I100" s="215"/>
      <c r="J100" s="173">
        <f t="shared" si="15"/>
        <v>110250</v>
      </c>
      <c r="K100" s="202"/>
      <c r="L100" s="62"/>
      <c r="M100" s="62"/>
      <c r="N100" s="62"/>
      <c r="O100" s="63"/>
      <c r="P100" s="63"/>
      <c r="Q100" s="62"/>
      <c r="R100" s="9"/>
      <c r="S100" s="9"/>
      <c r="T100" s="9"/>
      <c r="U100" s="9"/>
      <c r="V100" s="9"/>
      <c r="W100" s="9"/>
      <c r="X100" s="9"/>
      <c r="Y100" s="9"/>
    </row>
    <row r="101" spans="1:25" s="11" customFormat="1" ht="15.6" x14ac:dyDescent="0.3">
      <c r="A101" s="28" t="s">
        <v>49</v>
      </c>
      <c r="B101" s="92" t="s">
        <v>102</v>
      </c>
      <c r="C101" s="59" t="s">
        <v>24</v>
      </c>
      <c r="D101" s="225"/>
      <c r="E101" s="231"/>
      <c r="F101" s="93">
        <v>57210</v>
      </c>
      <c r="G101" s="223"/>
      <c r="H101" s="93">
        <v>58380</v>
      </c>
      <c r="I101" s="215"/>
      <c r="J101" s="173">
        <f t="shared" si="15"/>
        <v>1170</v>
      </c>
      <c r="K101" s="202"/>
      <c r="L101" s="62"/>
      <c r="M101" s="62"/>
      <c r="N101" s="62"/>
      <c r="O101" s="63"/>
      <c r="P101" s="63"/>
      <c r="Q101" s="62"/>
      <c r="R101" s="9"/>
      <c r="S101" s="9"/>
      <c r="T101" s="9"/>
      <c r="U101" s="9"/>
      <c r="V101" s="9"/>
      <c r="W101" s="9"/>
      <c r="X101" s="9"/>
      <c r="Y101" s="9"/>
    </row>
    <row r="102" spans="1:25" s="11" customFormat="1" ht="15.6" x14ac:dyDescent="0.3">
      <c r="A102" s="28" t="s">
        <v>49</v>
      </c>
      <c r="B102" s="92" t="s">
        <v>103</v>
      </c>
      <c r="C102" s="59" t="s">
        <v>24</v>
      </c>
      <c r="D102" s="225"/>
      <c r="E102" s="231"/>
      <c r="F102" s="93">
        <v>1630</v>
      </c>
      <c r="G102" s="223"/>
      <c r="H102" s="93">
        <v>11640</v>
      </c>
      <c r="I102" s="215"/>
      <c r="J102" s="173">
        <f t="shared" si="15"/>
        <v>10010</v>
      </c>
      <c r="K102" s="202"/>
      <c r="L102" s="62"/>
      <c r="M102" s="62"/>
      <c r="N102" s="62"/>
      <c r="O102" s="63"/>
      <c r="P102" s="63"/>
      <c r="Q102" s="62"/>
      <c r="R102" s="9"/>
      <c r="S102" s="9"/>
      <c r="T102" s="9"/>
      <c r="U102" s="9"/>
      <c r="V102" s="9"/>
      <c r="W102" s="9"/>
      <c r="X102" s="9"/>
      <c r="Y102" s="9"/>
    </row>
    <row r="103" spans="1:25" s="11" customFormat="1" ht="16.2" thickBot="1" x14ac:dyDescent="0.35">
      <c r="A103" s="29" t="s">
        <v>49</v>
      </c>
      <c r="B103" s="94" t="s">
        <v>104</v>
      </c>
      <c r="C103" s="95" t="s">
        <v>24</v>
      </c>
      <c r="D103" s="226"/>
      <c r="E103" s="232"/>
      <c r="F103" s="89">
        <v>61210</v>
      </c>
      <c r="G103" s="233"/>
      <c r="H103" s="89">
        <v>77820</v>
      </c>
      <c r="I103" s="216"/>
      <c r="J103" s="184">
        <f t="shared" si="15"/>
        <v>16610</v>
      </c>
      <c r="K103" s="203"/>
      <c r="L103" s="85"/>
      <c r="M103" s="85"/>
      <c r="N103" s="85"/>
      <c r="O103" s="63"/>
      <c r="P103" s="63"/>
      <c r="Q103" s="85"/>
      <c r="R103" s="9"/>
      <c r="S103" s="9"/>
      <c r="T103" s="9"/>
      <c r="U103" s="9"/>
      <c r="V103" s="9"/>
      <c r="W103" s="9"/>
      <c r="X103" s="9"/>
      <c r="Y103" s="9"/>
    </row>
    <row r="104" spans="1:25" ht="15.6" x14ac:dyDescent="0.3">
      <c r="A104" s="30" t="s">
        <v>50</v>
      </c>
      <c r="B104" s="12" t="s">
        <v>99</v>
      </c>
      <c r="C104" s="59" t="s">
        <v>24</v>
      </c>
      <c r="D104" s="224"/>
      <c r="E104" s="230">
        <v>155000</v>
      </c>
      <c r="F104" s="102">
        <v>1500</v>
      </c>
      <c r="G104" s="227">
        <f>SUM(F104:F114)</f>
        <v>141340</v>
      </c>
      <c r="H104" s="102">
        <v>1500</v>
      </c>
      <c r="I104" s="211">
        <f>SUM(H104:H114)</f>
        <v>154740</v>
      </c>
      <c r="J104" s="177">
        <f t="shared" si="15"/>
        <v>0</v>
      </c>
      <c r="K104" s="201">
        <f>I104-G104</f>
        <v>13400</v>
      </c>
      <c r="L104" s="79"/>
      <c r="M104" s="79"/>
      <c r="N104" s="79"/>
      <c r="O104" s="63"/>
      <c r="P104" s="63"/>
      <c r="Q104" s="79"/>
    </row>
    <row r="105" spans="1:25" s="11" customFormat="1" ht="15.6" x14ac:dyDescent="0.3">
      <c r="A105" s="33" t="s">
        <v>50</v>
      </c>
      <c r="B105" s="18" t="s">
        <v>105</v>
      </c>
      <c r="C105" s="59" t="s">
        <v>24</v>
      </c>
      <c r="D105" s="225"/>
      <c r="E105" s="231"/>
      <c r="F105" s="103">
        <v>0</v>
      </c>
      <c r="G105" s="228"/>
      <c r="H105" s="103">
        <v>0</v>
      </c>
      <c r="I105" s="212"/>
      <c r="J105" s="175">
        <f t="shared" si="15"/>
        <v>0</v>
      </c>
      <c r="K105" s="202"/>
      <c r="L105" s="62"/>
      <c r="M105" s="62"/>
      <c r="N105" s="62"/>
      <c r="O105" s="63"/>
      <c r="P105" s="63"/>
      <c r="Q105" s="62"/>
      <c r="R105" s="9"/>
      <c r="S105" s="9"/>
      <c r="T105" s="9"/>
      <c r="U105" s="9"/>
      <c r="V105" s="9"/>
      <c r="W105" s="9"/>
      <c r="X105" s="9"/>
      <c r="Y105" s="9"/>
    </row>
    <row r="106" spans="1:25" s="11" customFormat="1" ht="15.6" x14ac:dyDescent="0.3">
      <c r="A106" s="33" t="s">
        <v>50</v>
      </c>
      <c r="B106" s="18" t="s">
        <v>101</v>
      </c>
      <c r="C106" s="59" t="s">
        <v>24</v>
      </c>
      <c r="D106" s="225"/>
      <c r="E106" s="231"/>
      <c r="F106" s="104">
        <v>16500</v>
      </c>
      <c r="G106" s="228"/>
      <c r="H106" s="104">
        <v>16000</v>
      </c>
      <c r="I106" s="212"/>
      <c r="J106" s="175">
        <f t="shared" si="15"/>
        <v>-500</v>
      </c>
      <c r="K106" s="202"/>
      <c r="L106" s="62"/>
      <c r="M106" s="62"/>
      <c r="N106" s="62"/>
      <c r="O106" s="63"/>
      <c r="P106" s="63"/>
      <c r="Q106" s="62"/>
      <c r="R106" s="9"/>
      <c r="S106" s="9"/>
      <c r="T106" s="9"/>
      <c r="U106" s="9"/>
      <c r="V106" s="9"/>
      <c r="W106" s="9"/>
      <c r="X106" s="9"/>
      <c r="Y106" s="9"/>
    </row>
    <row r="107" spans="1:25" s="11" customFormat="1" ht="15.6" x14ac:dyDescent="0.3">
      <c r="A107" s="33" t="s">
        <v>50</v>
      </c>
      <c r="B107" s="18" t="s">
        <v>106</v>
      </c>
      <c r="C107" s="59" t="s">
        <v>24</v>
      </c>
      <c r="D107" s="225"/>
      <c r="E107" s="231"/>
      <c r="F107" s="104">
        <v>32240</v>
      </c>
      <c r="G107" s="228"/>
      <c r="H107" s="104">
        <v>26080</v>
      </c>
      <c r="I107" s="212"/>
      <c r="J107" s="175">
        <f t="shared" si="15"/>
        <v>-6160</v>
      </c>
      <c r="K107" s="202"/>
      <c r="L107" s="62"/>
      <c r="M107" s="62"/>
      <c r="N107" s="62"/>
      <c r="O107" s="63"/>
      <c r="P107" s="63"/>
      <c r="Q107" s="62"/>
      <c r="R107" s="9"/>
      <c r="S107" s="9"/>
      <c r="T107" s="9"/>
      <c r="U107" s="9"/>
      <c r="V107" s="9"/>
      <c r="W107" s="9"/>
      <c r="X107" s="9"/>
      <c r="Y107" s="9"/>
    </row>
    <row r="108" spans="1:25" s="11" customFormat="1" ht="15.6" x14ac:dyDescent="0.3">
      <c r="A108" s="33" t="s">
        <v>50</v>
      </c>
      <c r="B108" s="18" t="s">
        <v>107</v>
      </c>
      <c r="C108" s="59" t="s">
        <v>24</v>
      </c>
      <c r="D108" s="225"/>
      <c r="E108" s="231"/>
      <c r="F108" s="103">
        <v>27450</v>
      </c>
      <c r="G108" s="228"/>
      <c r="H108" s="103">
        <v>25600</v>
      </c>
      <c r="I108" s="212"/>
      <c r="J108" s="175">
        <f t="shared" si="15"/>
        <v>-1850</v>
      </c>
      <c r="K108" s="202"/>
      <c r="L108" s="62"/>
      <c r="M108" s="62"/>
      <c r="N108" s="62"/>
      <c r="O108" s="63"/>
      <c r="P108" s="63"/>
      <c r="Q108" s="62"/>
      <c r="R108" s="9"/>
      <c r="S108" s="9"/>
      <c r="T108" s="9"/>
      <c r="U108" s="9"/>
      <c r="V108" s="9"/>
      <c r="W108" s="9"/>
      <c r="X108" s="9"/>
      <c r="Y108" s="9"/>
    </row>
    <row r="109" spans="1:25" s="11" customFormat="1" ht="15.6" x14ac:dyDescent="0.3">
      <c r="A109" s="33" t="s">
        <v>50</v>
      </c>
      <c r="B109" s="18" t="s">
        <v>108</v>
      </c>
      <c r="C109" s="59" t="s">
        <v>24</v>
      </c>
      <c r="D109" s="225"/>
      <c r="E109" s="231"/>
      <c r="F109" s="87">
        <v>46390</v>
      </c>
      <c r="G109" s="228"/>
      <c r="H109" s="87">
        <v>62060</v>
      </c>
      <c r="I109" s="212"/>
      <c r="J109" s="173">
        <f t="shared" si="15"/>
        <v>15670</v>
      </c>
      <c r="K109" s="202"/>
      <c r="L109" s="62"/>
      <c r="M109" s="62"/>
      <c r="N109" s="62"/>
      <c r="O109" s="63"/>
      <c r="P109" s="63"/>
      <c r="Q109" s="62"/>
      <c r="R109" s="9"/>
      <c r="S109" s="9"/>
      <c r="T109" s="9"/>
      <c r="U109" s="9"/>
      <c r="V109" s="9"/>
      <c r="W109" s="9"/>
      <c r="X109" s="9"/>
      <c r="Y109" s="9"/>
    </row>
    <row r="110" spans="1:25" s="11" customFormat="1" ht="15.6" x14ac:dyDescent="0.3">
      <c r="A110" s="33" t="s">
        <v>50</v>
      </c>
      <c r="B110" s="18" t="s">
        <v>109</v>
      </c>
      <c r="C110" s="59" t="s">
        <v>24</v>
      </c>
      <c r="D110" s="225"/>
      <c r="E110" s="231"/>
      <c r="F110" s="87">
        <v>6360</v>
      </c>
      <c r="G110" s="228"/>
      <c r="H110" s="87">
        <v>5700</v>
      </c>
      <c r="I110" s="212"/>
      <c r="J110" s="175">
        <f t="shared" si="15"/>
        <v>-660</v>
      </c>
      <c r="K110" s="202"/>
      <c r="L110" s="62"/>
      <c r="M110" s="62"/>
      <c r="N110" s="62"/>
      <c r="O110" s="63"/>
      <c r="P110" s="63"/>
      <c r="Q110" s="62"/>
      <c r="R110" s="9"/>
      <c r="S110" s="9"/>
      <c r="T110" s="9"/>
      <c r="U110" s="9"/>
      <c r="V110" s="9"/>
      <c r="W110" s="9"/>
      <c r="X110" s="9"/>
      <c r="Y110" s="9"/>
    </row>
    <row r="111" spans="1:25" ht="15.6" x14ac:dyDescent="0.3">
      <c r="A111" s="33" t="s">
        <v>50</v>
      </c>
      <c r="B111" s="18" t="s">
        <v>110</v>
      </c>
      <c r="C111" s="59" t="s">
        <v>24</v>
      </c>
      <c r="D111" s="225"/>
      <c r="E111" s="231"/>
      <c r="F111" s="87">
        <v>2600</v>
      </c>
      <c r="G111" s="228"/>
      <c r="H111" s="87">
        <v>2600</v>
      </c>
      <c r="I111" s="212"/>
      <c r="J111" s="175">
        <f t="shared" si="15"/>
        <v>0</v>
      </c>
      <c r="K111" s="202"/>
      <c r="L111" s="59"/>
      <c r="M111" s="59"/>
      <c r="N111" s="59"/>
      <c r="O111" s="63"/>
      <c r="P111" s="63"/>
      <c r="Q111" s="59"/>
    </row>
    <row r="112" spans="1:25" ht="15.6" x14ac:dyDescent="0.3">
      <c r="A112" s="33" t="s">
        <v>50</v>
      </c>
      <c r="B112" s="18" t="s">
        <v>111</v>
      </c>
      <c r="C112" s="59" t="s">
        <v>24</v>
      </c>
      <c r="D112" s="225"/>
      <c r="E112" s="231"/>
      <c r="F112" s="87">
        <v>900</v>
      </c>
      <c r="G112" s="228"/>
      <c r="H112" s="87">
        <v>900</v>
      </c>
      <c r="I112" s="212"/>
      <c r="J112" s="175">
        <f t="shared" si="15"/>
        <v>0</v>
      </c>
      <c r="K112" s="202"/>
      <c r="L112" s="59"/>
      <c r="M112" s="59"/>
      <c r="N112" s="59"/>
      <c r="O112" s="63"/>
      <c r="P112" s="63"/>
      <c r="Q112" s="59"/>
    </row>
    <row r="113" spans="1:17" ht="15.6" x14ac:dyDescent="0.3">
      <c r="A113" s="33" t="s">
        <v>50</v>
      </c>
      <c r="B113" s="18" t="s">
        <v>112</v>
      </c>
      <c r="C113" s="59" t="s">
        <v>24</v>
      </c>
      <c r="D113" s="225"/>
      <c r="E113" s="231"/>
      <c r="F113" s="87">
        <v>5500</v>
      </c>
      <c r="G113" s="228"/>
      <c r="H113" s="87">
        <v>5500</v>
      </c>
      <c r="I113" s="212"/>
      <c r="J113" s="175">
        <f t="shared" si="15"/>
        <v>0</v>
      </c>
      <c r="K113" s="202"/>
      <c r="L113" s="59"/>
      <c r="M113" s="59"/>
      <c r="N113" s="59"/>
      <c r="O113" s="63"/>
      <c r="P113" s="63"/>
      <c r="Q113" s="59"/>
    </row>
    <row r="114" spans="1:17" ht="16.2" thickBot="1" x14ac:dyDescent="0.35">
      <c r="A114" s="31" t="s">
        <v>50</v>
      </c>
      <c r="B114" s="14" t="s">
        <v>113</v>
      </c>
      <c r="C114" s="95" t="s">
        <v>24</v>
      </c>
      <c r="D114" s="226"/>
      <c r="E114" s="232"/>
      <c r="F114" s="57">
        <v>1900</v>
      </c>
      <c r="G114" s="229"/>
      <c r="H114" s="167">
        <v>8800</v>
      </c>
      <c r="I114" s="213"/>
      <c r="J114" s="184">
        <f>H114-F114</f>
        <v>6900</v>
      </c>
      <c r="K114" s="203"/>
      <c r="L114" s="95"/>
      <c r="M114" s="95"/>
      <c r="N114" s="95"/>
      <c r="O114" s="63"/>
      <c r="P114" s="63"/>
      <c r="Q114" s="95"/>
    </row>
    <row r="115" spans="1:17" ht="16.2" thickBot="1" x14ac:dyDescent="0.35">
      <c r="A115" s="25" t="s">
        <v>51</v>
      </c>
      <c r="B115" s="13" t="s">
        <v>114</v>
      </c>
      <c r="C115" s="82" t="s">
        <v>24</v>
      </c>
      <c r="D115" s="83"/>
      <c r="E115" s="84">
        <v>20702</v>
      </c>
      <c r="F115" s="49">
        <v>22000</v>
      </c>
      <c r="G115" s="88">
        <f>F115</f>
        <v>22000</v>
      </c>
      <c r="H115" s="49">
        <v>22000</v>
      </c>
      <c r="I115" s="191">
        <f>H115</f>
        <v>22000</v>
      </c>
      <c r="J115" s="179">
        <f t="shared" si="15"/>
        <v>0</v>
      </c>
      <c r="K115" s="180"/>
      <c r="L115" s="82"/>
      <c r="M115" s="82"/>
      <c r="N115" s="82"/>
      <c r="O115" s="63"/>
      <c r="P115" s="63"/>
      <c r="Q115" s="82"/>
    </row>
    <row r="116" spans="1:17" s="17" customFormat="1" ht="15.6" x14ac:dyDescent="0.3">
      <c r="A116" s="97"/>
      <c r="B116" s="18"/>
      <c r="C116" s="59"/>
      <c r="D116" s="50" t="s">
        <v>144</v>
      </c>
      <c r="E116" s="62">
        <v>32100</v>
      </c>
      <c r="F116" s="50" t="s">
        <v>144</v>
      </c>
      <c r="G116" s="62">
        <v>106070</v>
      </c>
      <c r="H116" s="98"/>
      <c r="I116" s="98"/>
      <c r="J116" s="59"/>
      <c r="K116" s="59"/>
      <c r="L116" s="59"/>
      <c r="M116" s="59"/>
      <c r="N116" s="59"/>
      <c r="O116" s="63"/>
      <c r="P116" s="63"/>
      <c r="Q116" s="59"/>
    </row>
    <row r="117" spans="1:17" x14ac:dyDescent="0.3">
      <c r="B117" s="58"/>
      <c r="C117" s="59"/>
      <c r="D117" s="60" t="s">
        <v>179</v>
      </c>
      <c r="E117" s="62">
        <f>38000+31000</f>
        <v>69000</v>
      </c>
      <c r="F117" s="81" t="s">
        <v>145</v>
      </c>
      <c r="G117" s="62">
        <v>-143365</v>
      </c>
      <c r="H117" s="59"/>
      <c r="I117" s="59"/>
      <c r="J117" s="59"/>
      <c r="K117" s="59"/>
      <c r="L117" s="59"/>
      <c r="M117" s="59"/>
      <c r="N117" s="59"/>
      <c r="O117" s="59"/>
      <c r="P117" s="59"/>
      <c r="Q117" s="59"/>
    </row>
    <row r="118" spans="1:17" x14ac:dyDescent="0.3">
      <c r="A118" s="43"/>
      <c r="B118" s="96" t="s">
        <v>142</v>
      </c>
      <c r="C118" s="76"/>
      <c r="D118" s="77"/>
      <c r="E118" s="78">
        <f>SUM(E38:E115)</f>
        <v>4310000</v>
      </c>
      <c r="F118" s="78">
        <f>SUM(F38:F115)</f>
        <v>4548741.118999999</v>
      </c>
      <c r="G118" s="78">
        <f>SUM(G38:G117)</f>
        <v>4511446.118999999</v>
      </c>
      <c r="H118" s="78">
        <f>SUM(H38:H117)</f>
        <v>4650519.5999999996</v>
      </c>
      <c r="I118" s="78">
        <f>SUM(I38:I117)</f>
        <v>4650519.5999999996</v>
      </c>
      <c r="J118" s="78">
        <f t="shared" ref="J118" si="16">SUM(J38:J117)</f>
        <v>101778.48100000001</v>
      </c>
      <c r="K118" s="78">
        <f>SUM(K38:K117)</f>
        <v>101778.48099999997</v>
      </c>
      <c r="L118" s="76"/>
      <c r="M118" s="76"/>
      <c r="N118" s="76"/>
      <c r="O118" s="59"/>
      <c r="P118" s="59"/>
      <c r="Q118" s="59"/>
    </row>
    <row r="119" spans="1:17" x14ac:dyDescent="0.3">
      <c r="E119" s="38">
        <f>E118+E116+E117</f>
        <v>4411100</v>
      </c>
      <c r="H119" s="47">
        <f>H118-F118</f>
        <v>101778.48100000061</v>
      </c>
      <c r="I119" s="47">
        <f>I118-G118</f>
        <v>139073.48100000061</v>
      </c>
    </row>
    <row r="120" spans="1:17" x14ac:dyDescent="0.3">
      <c r="E120" s="9"/>
      <c r="G120" s="47"/>
    </row>
    <row r="121" spans="1:17" x14ac:dyDescent="0.3">
      <c r="E121" s="9"/>
      <c r="H121" s="194"/>
      <c r="I121" s="47"/>
      <c r="K121" s="47"/>
    </row>
    <row r="122" spans="1:17" x14ac:dyDescent="0.3">
      <c r="D122" t="s">
        <v>180</v>
      </c>
      <c r="E122" s="9"/>
      <c r="H122" s="47"/>
      <c r="K122" s="47"/>
    </row>
    <row r="123" spans="1:17" x14ac:dyDescent="0.3">
      <c r="E123" s="9"/>
      <c r="K123" s="47"/>
    </row>
    <row r="124" spans="1:17" x14ac:dyDescent="0.3">
      <c r="E124" s="9"/>
    </row>
    <row r="125" spans="1:17" x14ac:dyDescent="0.3">
      <c r="E125" s="9"/>
    </row>
    <row r="126" spans="1:17" x14ac:dyDescent="0.3">
      <c r="E126" s="9"/>
    </row>
    <row r="127" spans="1:17" x14ac:dyDescent="0.3">
      <c r="E127" s="9"/>
    </row>
    <row r="128" spans="1:17" x14ac:dyDescent="0.3">
      <c r="E128" s="9"/>
    </row>
    <row r="129" spans="5:5" x14ac:dyDescent="0.3">
      <c r="E129" s="9"/>
    </row>
    <row r="130" spans="5:5" x14ac:dyDescent="0.3">
      <c r="E130" s="9"/>
    </row>
    <row r="131" spans="5:5" x14ac:dyDescent="0.3">
      <c r="E131" s="9"/>
    </row>
    <row r="132" spans="5:5" x14ac:dyDescent="0.3">
      <c r="E132" s="9"/>
    </row>
    <row r="133" spans="5:5" x14ac:dyDescent="0.3">
      <c r="E133" s="9"/>
    </row>
    <row r="134" spans="5:5" x14ac:dyDescent="0.3">
      <c r="E134" s="9"/>
    </row>
    <row r="135" spans="5:5" x14ac:dyDescent="0.3">
      <c r="E135" s="9"/>
    </row>
    <row r="136" spans="5:5" x14ac:dyDescent="0.3">
      <c r="E136" s="9"/>
    </row>
    <row r="137" spans="5:5" x14ac:dyDescent="0.3">
      <c r="E137" s="9"/>
    </row>
    <row r="138" spans="5:5" x14ac:dyDescent="0.3">
      <c r="E138" s="9"/>
    </row>
    <row r="139" spans="5:5" x14ac:dyDescent="0.3">
      <c r="E139" s="9"/>
    </row>
    <row r="140" spans="5:5" x14ac:dyDescent="0.3">
      <c r="E140" s="9"/>
    </row>
    <row r="141" spans="5:5" x14ac:dyDescent="0.3">
      <c r="E141" s="9"/>
    </row>
    <row r="142" spans="5:5" x14ac:dyDescent="0.3">
      <c r="E142" s="9"/>
    </row>
    <row r="143" spans="5:5" x14ac:dyDescent="0.3">
      <c r="E143" s="9"/>
    </row>
    <row r="144" spans="5:5" x14ac:dyDescent="0.3">
      <c r="E144" s="9"/>
    </row>
    <row r="145" spans="5:5" x14ac:dyDescent="0.3">
      <c r="E145" s="9"/>
    </row>
    <row r="146" spans="5:5" x14ac:dyDescent="0.3">
      <c r="E146" s="9"/>
    </row>
    <row r="147" spans="5:5" x14ac:dyDescent="0.3">
      <c r="E147" s="9"/>
    </row>
    <row r="148" spans="5:5" x14ac:dyDescent="0.3">
      <c r="E148" s="9"/>
    </row>
    <row r="149" spans="5:5" x14ac:dyDescent="0.3">
      <c r="E149" s="9"/>
    </row>
    <row r="150" spans="5:5" x14ac:dyDescent="0.3">
      <c r="E150" s="9"/>
    </row>
    <row r="151" spans="5:5" x14ac:dyDescent="0.3">
      <c r="E151" s="9"/>
    </row>
    <row r="152" spans="5:5" x14ac:dyDescent="0.3">
      <c r="E152" s="9"/>
    </row>
    <row r="153" spans="5:5" x14ac:dyDescent="0.3">
      <c r="E153" s="9"/>
    </row>
    <row r="154" spans="5:5" x14ac:dyDescent="0.3">
      <c r="E154" s="9"/>
    </row>
    <row r="155" spans="5:5" x14ac:dyDescent="0.3">
      <c r="E155" s="9"/>
    </row>
    <row r="156" spans="5:5" x14ac:dyDescent="0.3">
      <c r="E156" s="9"/>
    </row>
    <row r="157" spans="5:5" x14ac:dyDescent="0.3">
      <c r="E157" s="9"/>
    </row>
    <row r="158" spans="5:5" x14ac:dyDescent="0.3">
      <c r="E158" s="9"/>
    </row>
    <row r="159" spans="5:5" x14ac:dyDescent="0.3">
      <c r="E159" s="9"/>
    </row>
    <row r="160" spans="5:5" x14ac:dyDescent="0.3">
      <c r="E160" s="9"/>
    </row>
    <row r="161" spans="5:5" x14ac:dyDescent="0.3">
      <c r="E161" s="9"/>
    </row>
    <row r="162" spans="5:5" x14ac:dyDescent="0.3">
      <c r="E162" s="9"/>
    </row>
    <row r="163" spans="5:5" x14ac:dyDescent="0.3">
      <c r="E163" s="9"/>
    </row>
    <row r="164" spans="5:5" x14ac:dyDescent="0.3">
      <c r="E164" s="9"/>
    </row>
    <row r="165" spans="5:5" x14ac:dyDescent="0.3">
      <c r="E165" s="9"/>
    </row>
    <row r="166" spans="5:5" x14ac:dyDescent="0.3">
      <c r="E166" s="9"/>
    </row>
    <row r="167" spans="5:5" x14ac:dyDescent="0.3">
      <c r="E167" s="9"/>
    </row>
    <row r="168" spans="5:5" x14ac:dyDescent="0.3">
      <c r="E168" s="9"/>
    </row>
    <row r="169" spans="5:5" x14ac:dyDescent="0.3">
      <c r="E169" s="9"/>
    </row>
    <row r="170" spans="5:5" x14ac:dyDescent="0.3">
      <c r="E170" s="9"/>
    </row>
    <row r="171" spans="5:5" x14ac:dyDescent="0.3">
      <c r="E171" s="9"/>
    </row>
    <row r="172" spans="5:5" x14ac:dyDescent="0.3">
      <c r="E172" s="9"/>
    </row>
    <row r="173" spans="5:5" x14ac:dyDescent="0.3">
      <c r="E173" s="9"/>
    </row>
    <row r="174" spans="5:5" x14ac:dyDescent="0.3">
      <c r="E174" s="9"/>
    </row>
    <row r="175" spans="5:5" x14ac:dyDescent="0.3">
      <c r="E175" s="9"/>
    </row>
    <row r="176" spans="5:5" x14ac:dyDescent="0.3">
      <c r="E176" s="9"/>
    </row>
    <row r="177" spans="5:5" x14ac:dyDescent="0.3">
      <c r="E177" s="9"/>
    </row>
    <row r="178" spans="5:5" x14ac:dyDescent="0.3">
      <c r="E178" s="9"/>
    </row>
    <row r="179" spans="5:5" x14ac:dyDescent="0.3">
      <c r="E179" s="9"/>
    </row>
    <row r="180" spans="5:5" x14ac:dyDescent="0.3">
      <c r="E180" s="9"/>
    </row>
    <row r="181" spans="5:5" x14ac:dyDescent="0.3">
      <c r="E181" s="9"/>
    </row>
    <row r="182" spans="5:5" x14ac:dyDescent="0.3">
      <c r="E182" s="9"/>
    </row>
    <row r="183" spans="5:5" x14ac:dyDescent="0.3">
      <c r="E183" s="9"/>
    </row>
    <row r="184" spans="5:5" x14ac:dyDescent="0.3">
      <c r="E184" s="9"/>
    </row>
    <row r="185" spans="5:5" x14ac:dyDescent="0.3">
      <c r="E185" s="9"/>
    </row>
  </sheetData>
  <mergeCells count="77">
    <mergeCell ref="E56:E59"/>
    <mergeCell ref="E76:E78"/>
    <mergeCell ref="E68:E75"/>
    <mergeCell ref="E79:E80"/>
    <mergeCell ref="E91:E96"/>
    <mergeCell ref="E83:E90"/>
    <mergeCell ref="E63:E66"/>
    <mergeCell ref="E81:E82"/>
    <mergeCell ref="B6:B7"/>
    <mergeCell ref="I83:I90"/>
    <mergeCell ref="E14:E15"/>
    <mergeCell ref="H14:H15"/>
    <mergeCell ref="I63:I66"/>
    <mergeCell ref="I68:I75"/>
    <mergeCell ref="I76:I78"/>
    <mergeCell ref="F14:F15"/>
    <mergeCell ref="G14:G15"/>
    <mergeCell ref="G53:G55"/>
    <mergeCell ref="G56:G59"/>
    <mergeCell ref="G61:G62"/>
    <mergeCell ref="E61:E62"/>
    <mergeCell ref="E38:E43"/>
    <mergeCell ref="E48:E52"/>
    <mergeCell ref="E53:E55"/>
    <mergeCell ref="G76:G78"/>
    <mergeCell ref="G79:G80"/>
    <mergeCell ref="G81:G82"/>
    <mergeCell ref="G83:G90"/>
    <mergeCell ref="I53:I55"/>
    <mergeCell ref="I56:I59"/>
    <mergeCell ref="I61:I62"/>
    <mergeCell ref="G63:G66"/>
    <mergeCell ref="G68:G75"/>
    <mergeCell ref="D83:D90"/>
    <mergeCell ref="D91:D96"/>
    <mergeCell ref="G104:G114"/>
    <mergeCell ref="D97:D103"/>
    <mergeCell ref="D104:D114"/>
    <mergeCell ref="E97:E103"/>
    <mergeCell ref="G97:G103"/>
    <mergeCell ref="G91:G96"/>
    <mergeCell ref="E104:E114"/>
    <mergeCell ref="D63:D66"/>
    <mergeCell ref="D68:D75"/>
    <mergeCell ref="D76:D78"/>
    <mergeCell ref="D79:D80"/>
    <mergeCell ref="D81:D82"/>
    <mergeCell ref="D38:D43"/>
    <mergeCell ref="D45:D52"/>
    <mergeCell ref="D53:D55"/>
    <mergeCell ref="D56:D59"/>
    <mergeCell ref="D61:D62"/>
    <mergeCell ref="I14:I15"/>
    <mergeCell ref="F2:F3"/>
    <mergeCell ref="G38:G43"/>
    <mergeCell ref="G45:G52"/>
    <mergeCell ref="I38:I43"/>
    <mergeCell ref="I45:I52"/>
    <mergeCell ref="I104:I114"/>
    <mergeCell ref="I97:I103"/>
    <mergeCell ref="I79:I80"/>
    <mergeCell ref="I81:I82"/>
    <mergeCell ref="I91:I96"/>
    <mergeCell ref="K56:K59"/>
    <mergeCell ref="K53:K55"/>
    <mergeCell ref="K45:K52"/>
    <mergeCell ref="K38:K43"/>
    <mergeCell ref="K104:K114"/>
    <mergeCell ref="K68:K75"/>
    <mergeCell ref="K79:K80"/>
    <mergeCell ref="K76:K78"/>
    <mergeCell ref="K97:K103"/>
    <mergeCell ref="K91:K96"/>
    <mergeCell ref="K81:K82"/>
    <mergeCell ref="K83:K90"/>
    <mergeCell ref="K63:K66"/>
    <mergeCell ref="K61:K62"/>
  </mergeCells>
  <dataValidations count="4">
    <dataValidation type="list" allowBlank="1" showInputMessage="1" showErrorMessage="1" sqref="E6">
      <formula1>"MB,ER"</formula1>
    </dataValidation>
    <dataValidation type="list" allowBlank="1" showInputMessage="1" showErrorMessage="1" sqref="C13:C116">
      <formula1>" ,Services,Travaux,Fourniture,Taxes"</formula1>
    </dataValidation>
    <dataValidation type="list" allowBlank="1" showInputMessage="1" showErrorMessage="1" sqref="O13:O116">
      <formula1>"AO en cours,signé,résilié"</formula1>
    </dataValidation>
    <dataValidation type="list" allowBlank="1" showInputMessage="1" showErrorMessage="1" sqref="P13:P116">
      <formula1>"paiement APS,paiementAPD,paiementPRO,paiementDCE,paiement VISA,paiement PHASE 1,paiement PHASE 2,paiement PHASE 3,paiement PHASE 4,paiement PHASE 5,solde OK"</formula1>
    </dataValidation>
  </dataValidations>
  <pageMargins left="0.7" right="0.7" top="0.75" bottom="0.75" header="0.3" footer="0.3"/>
  <pageSetup paperSize="9" orientation="portrait" r:id="rId1"/>
  <ignoredErrors>
    <ignoredError sqref="G97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85"/>
  <sheetViews>
    <sheetView zoomScaleNormal="100" workbookViewId="0">
      <pane xSplit="3" ySplit="12" topLeftCell="D37" activePane="bottomRight" state="frozen"/>
      <selection pane="topRight" activeCell="D1" sqref="D1"/>
      <selection pane="bottomLeft" activeCell="A11" sqref="A11"/>
      <selection pane="bottomRight" activeCell="N12" sqref="N12"/>
    </sheetView>
  </sheetViews>
  <sheetFormatPr baseColWidth="10" defaultRowHeight="14.4" x14ac:dyDescent="0.3"/>
  <cols>
    <col min="1" max="1" width="48.33203125" style="20" customWidth="1"/>
    <col min="2" max="2" width="38" style="17" customWidth="1"/>
    <col min="3" max="3" width="11.5546875" style="17" customWidth="1"/>
    <col min="4" max="4" width="14.109375" style="37" customWidth="1"/>
    <col min="5" max="5" width="15.33203125" style="17" customWidth="1"/>
    <col min="6" max="6" width="15.6640625" style="17" customWidth="1"/>
    <col min="7" max="7" width="14.109375" style="17" bestFit="1" customWidth="1"/>
    <col min="8" max="8" width="15.6640625" style="17" customWidth="1"/>
    <col min="9" max="9" width="14.109375" style="17" bestFit="1" customWidth="1"/>
    <col min="10" max="10" width="15.33203125" style="17" customWidth="1"/>
    <col min="11" max="11" width="12.6640625" style="17" bestFit="1" customWidth="1"/>
    <col min="12" max="14" width="11.5546875" style="17"/>
    <col min="15" max="16" width="15" style="17" customWidth="1"/>
    <col min="17" max="16384" width="11.5546875" style="17"/>
  </cols>
  <sheetData>
    <row r="1" spans="1:25" ht="15" thickBot="1" x14ac:dyDescent="0.35"/>
    <row r="2" spans="1:25" ht="34.950000000000003" customHeight="1" x14ac:dyDescent="0.3">
      <c r="B2" s="35" t="s">
        <v>1</v>
      </c>
      <c r="E2" s="1"/>
      <c r="F2" s="220" t="s">
        <v>2</v>
      </c>
    </row>
    <row r="3" spans="1:25" ht="15" thickBot="1" x14ac:dyDescent="0.35">
      <c r="F3" s="221"/>
    </row>
    <row r="4" spans="1:25" ht="23.4" x14ac:dyDescent="0.45">
      <c r="B4" s="193" t="s">
        <v>0</v>
      </c>
      <c r="C4" s="3"/>
      <c r="D4" s="241" t="s">
        <v>195</v>
      </c>
      <c r="E4" s="242"/>
      <c r="F4" s="2" t="s">
        <v>6</v>
      </c>
      <c r="H4" s="241" t="s">
        <v>195</v>
      </c>
      <c r="I4" s="242"/>
    </row>
    <row r="5" spans="1:25" hidden="1" x14ac:dyDescent="0.3">
      <c r="F5" s="2" t="s">
        <v>4</v>
      </c>
    </row>
    <row r="6" spans="1:25" ht="15" hidden="1" thickTop="1" x14ac:dyDescent="0.3">
      <c r="B6" s="237" t="s">
        <v>160</v>
      </c>
      <c r="D6" s="17" t="s">
        <v>7</v>
      </c>
      <c r="E6" s="37" t="s">
        <v>9</v>
      </c>
      <c r="F6" s="163" t="s">
        <v>6</v>
      </c>
    </row>
    <row r="7" spans="1:25" ht="15" hidden="1" thickBot="1" x14ac:dyDescent="0.35">
      <c r="B7" s="238"/>
      <c r="D7" s="17" t="s">
        <v>8</v>
      </c>
      <c r="E7" s="40">
        <v>45650</v>
      </c>
      <c r="F7" s="2" t="s">
        <v>5</v>
      </c>
      <c r="H7" s="47"/>
    </row>
    <row r="8" spans="1:25" hidden="1" x14ac:dyDescent="0.3">
      <c r="F8" s="2" t="s">
        <v>140</v>
      </c>
    </row>
    <row r="9" spans="1:25" hidden="1" x14ac:dyDescent="0.3">
      <c r="F9" s="2" t="s">
        <v>163</v>
      </c>
    </row>
    <row r="10" spans="1:25" hidden="1" x14ac:dyDescent="0.3">
      <c r="F10" s="111"/>
    </row>
    <row r="11" spans="1:25" x14ac:dyDescent="0.3">
      <c r="A11" s="105"/>
      <c r="B11" s="106" t="s">
        <v>161</v>
      </c>
      <c r="C11" s="106"/>
      <c r="D11" s="107"/>
      <c r="E11" s="108">
        <f>E37+E119</f>
        <v>5615014.166666667</v>
      </c>
      <c r="F11" s="108">
        <f>F37+F118</f>
        <v>5742957.1724989833</v>
      </c>
      <c r="G11" s="108">
        <f>G37+G118</f>
        <v>5705775.8767672777</v>
      </c>
      <c r="H11" s="46">
        <f>H37+H118</f>
        <v>5848944.8349593505</v>
      </c>
      <c r="I11" s="46">
        <f>I37+I118</f>
        <v>5848946.8349593505</v>
      </c>
      <c r="J11" s="42"/>
      <c r="K11" s="42"/>
    </row>
    <row r="12" spans="1:25" ht="62.4" x14ac:dyDescent="0.3">
      <c r="A12" s="21" t="s">
        <v>32</v>
      </c>
      <c r="B12" s="8" t="s">
        <v>115</v>
      </c>
      <c r="C12" s="8" t="s">
        <v>10</v>
      </c>
      <c r="D12" s="8" t="s">
        <v>11</v>
      </c>
      <c r="E12" s="4" t="s">
        <v>141</v>
      </c>
      <c r="F12" s="10" t="s">
        <v>194</v>
      </c>
      <c r="G12" s="10" t="s">
        <v>146</v>
      </c>
      <c r="H12" s="10" t="s">
        <v>188</v>
      </c>
      <c r="I12" s="10" t="s">
        <v>187</v>
      </c>
      <c r="J12" s="7" t="s">
        <v>135</v>
      </c>
      <c r="K12" s="7" t="s">
        <v>135</v>
      </c>
      <c r="L12" s="10" t="s">
        <v>134</v>
      </c>
      <c r="M12" s="10" t="s">
        <v>136</v>
      </c>
      <c r="N12" s="7" t="s">
        <v>137</v>
      </c>
      <c r="O12" s="10" t="s">
        <v>138</v>
      </c>
      <c r="P12" s="10" t="s">
        <v>139</v>
      </c>
      <c r="Q12" s="5" t="s">
        <v>31</v>
      </c>
    </row>
    <row r="13" spans="1:25" ht="15.6" x14ac:dyDescent="0.3">
      <c r="A13" s="44" t="s">
        <v>12</v>
      </c>
      <c r="B13" s="154" t="s">
        <v>128</v>
      </c>
      <c r="C13" s="59" t="s">
        <v>13</v>
      </c>
      <c r="D13" s="192" t="s">
        <v>124</v>
      </c>
      <c r="E13" s="61">
        <f>85800/1.2</f>
        <v>71500</v>
      </c>
      <c r="F13" s="61">
        <f>85800/1.2</f>
        <v>71500</v>
      </c>
      <c r="G13" s="61">
        <f t="shared" ref="G13" si="0">85800/1.2</f>
        <v>71500</v>
      </c>
      <c r="H13" s="61">
        <f>85800/1.2</f>
        <v>71500</v>
      </c>
      <c r="I13" s="61">
        <f>85800/1.2</f>
        <v>71500</v>
      </c>
      <c r="J13" s="62"/>
      <c r="K13" s="62"/>
      <c r="L13" s="62"/>
      <c r="M13" s="62"/>
      <c r="N13" s="62"/>
      <c r="O13" s="63"/>
      <c r="P13" s="63"/>
      <c r="Q13" s="62"/>
      <c r="R13" s="9"/>
      <c r="S13" s="9"/>
      <c r="T13" s="9"/>
      <c r="U13" s="9"/>
      <c r="V13" s="9"/>
      <c r="W13" s="9"/>
      <c r="X13" s="9"/>
      <c r="Y13" s="9"/>
    </row>
    <row r="14" spans="1:25" ht="15.6" x14ac:dyDescent="0.3">
      <c r="A14" s="44" t="s">
        <v>12</v>
      </c>
      <c r="B14" s="154" t="s">
        <v>25</v>
      </c>
      <c r="C14" s="59" t="s">
        <v>13</v>
      </c>
      <c r="D14" s="192" t="s">
        <v>28</v>
      </c>
      <c r="E14" s="218">
        <v>722000</v>
      </c>
      <c r="F14" s="218">
        <v>722000</v>
      </c>
      <c r="G14" s="218">
        <v>722000</v>
      </c>
      <c r="H14" s="218">
        <v>722000</v>
      </c>
      <c r="I14" s="218">
        <v>722000</v>
      </c>
      <c r="J14" s="62"/>
      <c r="K14" s="62"/>
      <c r="L14" s="62"/>
      <c r="M14" s="62"/>
      <c r="N14" s="62"/>
      <c r="O14" s="63"/>
      <c r="P14" s="63"/>
      <c r="Q14" s="62"/>
      <c r="R14" s="9"/>
      <c r="S14" s="9"/>
      <c r="T14" s="9"/>
      <c r="U14" s="9"/>
      <c r="V14" s="9"/>
      <c r="W14" s="9"/>
      <c r="X14" s="9"/>
      <c r="Y14" s="9"/>
    </row>
    <row r="15" spans="1:25" ht="15.6" x14ac:dyDescent="0.3">
      <c r="A15" s="44" t="s">
        <v>12</v>
      </c>
      <c r="B15" s="154" t="s">
        <v>14</v>
      </c>
      <c r="C15" s="59" t="s">
        <v>13</v>
      </c>
      <c r="D15" s="192" t="s">
        <v>29</v>
      </c>
      <c r="E15" s="219"/>
      <c r="F15" s="219"/>
      <c r="G15" s="219"/>
      <c r="H15" s="219"/>
      <c r="I15" s="219"/>
      <c r="J15" s="62"/>
      <c r="K15" s="62"/>
      <c r="L15" s="62"/>
      <c r="M15" s="62"/>
      <c r="N15" s="62"/>
      <c r="O15" s="63"/>
      <c r="P15" s="63"/>
      <c r="Q15" s="62"/>
      <c r="R15" s="9"/>
      <c r="S15" s="9"/>
      <c r="T15" s="9"/>
      <c r="U15" s="9"/>
      <c r="V15" s="9"/>
      <c r="W15" s="9"/>
      <c r="X15" s="9"/>
      <c r="Y15" s="9"/>
    </row>
    <row r="16" spans="1:25" ht="15.6" x14ac:dyDescent="0.3">
      <c r="A16" s="44" t="s">
        <v>12</v>
      </c>
      <c r="B16" s="155" t="s">
        <v>26</v>
      </c>
      <c r="C16" s="64" t="s">
        <v>13</v>
      </c>
      <c r="D16" s="65" t="s">
        <v>28</v>
      </c>
      <c r="E16" s="66">
        <v>85800</v>
      </c>
      <c r="F16" s="66">
        <v>85800</v>
      </c>
      <c r="G16" s="66">
        <v>85800</v>
      </c>
      <c r="H16" s="66">
        <v>85800</v>
      </c>
      <c r="I16" s="66">
        <v>85800</v>
      </c>
      <c r="J16" s="67"/>
      <c r="K16" s="67"/>
      <c r="L16" s="62"/>
      <c r="M16" s="62"/>
      <c r="N16" s="62"/>
      <c r="O16" s="63"/>
      <c r="P16" s="63"/>
      <c r="Q16" s="62"/>
      <c r="R16" s="9"/>
      <c r="S16" s="9"/>
      <c r="T16" s="9"/>
      <c r="U16" s="9"/>
      <c r="V16" s="9"/>
      <c r="W16" s="9"/>
      <c r="X16" s="9"/>
      <c r="Y16" s="9"/>
    </row>
    <row r="17" spans="1:25" ht="15.6" x14ac:dyDescent="0.3">
      <c r="A17" s="44" t="s">
        <v>12</v>
      </c>
      <c r="B17" s="156" t="s">
        <v>27</v>
      </c>
      <c r="C17" s="69" t="s">
        <v>13</v>
      </c>
      <c r="D17" s="70" t="s">
        <v>28</v>
      </c>
      <c r="E17" s="71">
        <v>12000</v>
      </c>
      <c r="F17" s="71">
        <v>12000</v>
      </c>
      <c r="G17" s="71">
        <v>12000</v>
      </c>
      <c r="H17" s="71">
        <v>12000</v>
      </c>
      <c r="I17" s="71">
        <v>12000</v>
      </c>
      <c r="J17" s="72"/>
      <c r="K17" s="72"/>
      <c r="L17" s="62"/>
      <c r="M17" s="62"/>
      <c r="N17" s="62"/>
      <c r="O17" s="63"/>
      <c r="P17" s="63"/>
      <c r="Q17" s="62"/>
      <c r="R17" s="9"/>
      <c r="S17" s="9"/>
      <c r="T17" s="9"/>
      <c r="U17" s="9"/>
      <c r="V17" s="9"/>
      <c r="W17" s="9"/>
      <c r="X17" s="9"/>
      <c r="Y17" s="9"/>
    </row>
    <row r="18" spans="1:25" ht="15.6" x14ac:dyDescent="0.3">
      <c r="A18" s="44" t="s">
        <v>12</v>
      </c>
      <c r="B18" s="157" t="s">
        <v>16</v>
      </c>
      <c r="C18" s="69" t="s">
        <v>13</v>
      </c>
      <c r="D18" s="70" t="s">
        <v>123</v>
      </c>
      <c r="E18" s="73">
        <f>6759.5+9120</f>
        <v>15879.5</v>
      </c>
      <c r="F18" s="73">
        <f t="shared" ref="F18:I18" si="1">6759.5+9120</f>
        <v>15879.5</v>
      </c>
      <c r="G18" s="73">
        <f t="shared" si="1"/>
        <v>15879.5</v>
      </c>
      <c r="H18" s="73">
        <f t="shared" si="1"/>
        <v>15879.5</v>
      </c>
      <c r="I18" s="73">
        <f t="shared" si="1"/>
        <v>15879.5</v>
      </c>
      <c r="J18" s="72"/>
      <c r="K18" s="72"/>
      <c r="L18" s="62"/>
      <c r="M18" s="62"/>
      <c r="N18" s="62"/>
      <c r="O18" s="63"/>
      <c r="P18" s="63"/>
      <c r="Q18" s="62"/>
      <c r="R18" s="9"/>
      <c r="S18" s="9"/>
      <c r="T18" s="9"/>
      <c r="U18" s="9"/>
      <c r="V18" s="9"/>
      <c r="W18" s="9"/>
      <c r="X18" s="9"/>
      <c r="Y18" s="9"/>
    </row>
    <row r="19" spans="1:25" ht="15.6" x14ac:dyDescent="0.3">
      <c r="A19" s="44" t="s">
        <v>12</v>
      </c>
      <c r="B19" s="157" t="s">
        <v>119</v>
      </c>
      <c r="C19" s="69"/>
      <c r="D19" s="70" t="s">
        <v>30</v>
      </c>
      <c r="E19" s="73">
        <f>3000+1500+6150+4280+2000+1000</f>
        <v>17930</v>
      </c>
      <c r="F19" s="73">
        <v>22100</v>
      </c>
      <c r="G19" s="73">
        <v>22100</v>
      </c>
      <c r="H19" s="73">
        <v>22100</v>
      </c>
      <c r="I19" s="73">
        <v>22101</v>
      </c>
      <c r="J19" s="72"/>
      <c r="K19" s="72"/>
      <c r="L19" s="62"/>
      <c r="M19" s="62"/>
      <c r="N19" s="62"/>
      <c r="O19" s="63"/>
      <c r="P19" s="63"/>
      <c r="Q19" s="62"/>
      <c r="R19" s="9"/>
      <c r="S19" s="9"/>
      <c r="T19" s="9"/>
      <c r="U19" s="9"/>
      <c r="V19" s="9"/>
      <c r="W19" s="9"/>
      <c r="X19" s="9"/>
      <c r="Y19" s="9"/>
    </row>
    <row r="20" spans="1:25" ht="15.6" x14ac:dyDescent="0.3">
      <c r="A20" s="44" t="s">
        <v>12</v>
      </c>
      <c r="B20" s="157" t="s">
        <v>120</v>
      </c>
      <c r="C20" s="69"/>
      <c r="D20" s="70" t="s">
        <v>125</v>
      </c>
      <c r="E20" s="73">
        <f>1620+2438+800+3830+856+856</f>
        <v>10400</v>
      </c>
      <c r="F20" s="73">
        <f t="shared" ref="F20:I20" si="2">1620+2438+800+3830+856+856</f>
        <v>10400</v>
      </c>
      <c r="G20" s="73">
        <f t="shared" si="2"/>
        <v>10400</v>
      </c>
      <c r="H20" s="73">
        <f t="shared" si="2"/>
        <v>10400</v>
      </c>
      <c r="I20" s="73">
        <f t="shared" si="2"/>
        <v>10400</v>
      </c>
      <c r="J20" s="72"/>
      <c r="K20" s="72"/>
      <c r="L20" s="62"/>
      <c r="M20" s="62"/>
      <c r="N20" s="62"/>
      <c r="O20" s="63"/>
      <c r="P20" s="63"/>
      <c r="Q20" s="62"/>
      <c r="R20" s="9"/>
      <c r="S20" s="9"/>
      <c r="T20" s="9"/>
      <c r="U20" s="9"/>
      <c r="V20" s="9"/>
      <c r="W20" s="9"/>
      <c r="X20" s="9"/>
      <c r="Y20" s="9"/>
    </row>
    <row r="21" spans="1:25" ht="15.6" x14ac:dyDescent="0.3">
      <c r="A21" s="44" t="s">
        <v>12</v>
      </c>
      <c r="B21" s="156" t="s">
        <v>116</v>
      </c>
      <c r="C21" s="69" t="s">
        <v>13</v>
      </c>
      <c r="D21" s="70" t="s">
        <v>126</v>
      </c>
      <c r="E21" s="73">
        <f t="shared" ref="E21" si="3">4480+21560+1120</f>
        <v>27160</v>
      </c>
      <c r="F21" s="73">
        <f>4480+21560+1120</f>
        <v>27160</v>
      </c>
      <c r="G21" s="73">
        <f t="shared" ref="G21" si="4">4480+21560+1120</f>
        <v>27160</v>
      </c>
      <c r="H21" s="73">
        <f>4480+21560+1120</f>
        <v>27160</v>
      </c>
      <c r="I21" s="73">
        <f>4480+21560+1120</f>
        <v>27160</v>
      </c>
      <c r="J21" s="72"/>
      <c r="K21" s="72"/>
      <c r="L21" s="62"/>
      <c r="M21" s="62"/>
      <c r="N21" s="62"/>
      <c r="O21" s="63"/>
      <c r="P21" s="63"/>
      <c r="Q21" s="62"/>
      <c r="R21" s="9"/>
      <c r="S21" s="9"/>
      <c r="T21" s="9"/>
      <c r="U21" s="9"/>
      <c r="V21" s="9"/>
      <c r="W21" s="9"/>
      <c r="X21" s="9"/>
      <c r="Y21" s="9"/>
    </row>
    <row r="22" spans="1:25" ht="15.6" x14ac:dyDescent="0.3">
      <c r="A22" s="44" t="s">
        <v>12</v>
      </c>
      <c r="B22" s="156" t="s">
        <v>117</v>
      </c>
      <c r="C22" s="69" t="s">
        <v>13</v>
      </c>
      <c r="D22" s="70" t="s">
        <v>127</v>
      </c>
      <c r="E22" s="73">
        <v>21168</v>
      </c>
      <c r="F22" s="73">
        <f>3276+17892</f>
        <v>21168</v>
      </c>
      <c r="G22" s="73">
        <f t="shared" ref="G22" si="5">3276+17892</f>
        <v>21168</v>
      </c>
      <c r="H22" s="73">
        <f>3276+17892</f>
        <v>21168</v>
      </c>
      <c r="I22" s="73">
        <f>3276+17892</f>
        <v>21168</v>
      </c>
      <c r="J22" s="72"/>
      <c r="K22" s="72"/>
      <c r="L22" s="62"/>
      <c r="M22" s="62"/>
      <c r="N22" s="62"/>
      <c r="O22" s="63"/>
      <c r="P22" s="63"/>
      <c r="Q22" s="62"/>
      <c r="R22" s="9"/>
      <c r="S22" s="9"/>
      <c r="T22" s="9"/>
      <c r="U22" s="9"/>
      <c r="V22" s="9"/>
      <c r="W22" s="9"/>
      <c r="X22" s="9"/>
      <c r="Y22" s="9"/>
    </row>
    <row r="23" spans="1:25" ht="15.6" x14ac:dyDescent="0.3">
      <c r="A23" s="44" t="s">
        <v>12</v>
      </c>
      <c r="B23" s="156" t="s">
        <v>118</v>
      </c>
      <c r="C23" s="69" t="s">
        <v>13</v>
      </c>
      <c r="D23" s="70" t="s">
        <v>29</v>
      </c>
      <c r="E23" s="73">
        <v>15000</v>
      </c>
      <c r="F23" s="71">
        <v>15000</v>
      </c>
      <c r="G23" s="71">
        <v>15000</v>
      </c>
      <c r="H23" s="71">
        <v>15000</v>
      </c>
      <c r="I23" s="71">
        <v>15001</v>
      </c>
      <c r="J23" s="72"/>
      <c r="K23" s="72"/>
      <c r="L23" s="62"/>
      <c r="M23" s="62"/>
      <c r="N23" s="62"/>
      <c r="O23" s="63"/>
      <c r="P23" s="63"/>
      <c r="Q23" s="62"/>
      <c r="R23" s="9"/>
      <c r="S23" s="9"/>
      <c r="T23" s="9"/>
      <c r="U23" s="9"/>
      <c r="V23" s="9"/>
      <c r="W23" s="9"/>
      <c r="X23" s="9"/>
      <c r="Y23" s="9"/>
    </row>
    <row r="24" spans="1:25" ht="15.6" x14ac:dyDescent="0.3">
      <c r="A24" s="44" t="s">
        <v>12</v>
      </c>
      <c r="B24" s="156" t="s">
        <v>121</v>
      </c>
      <c r="C24" s="69"/>
      <c r="D24" s="70"/>
      <c r="E24" s="153">
        <f t="shared" ref="E24" si="6">600/1.2</f>
        <v>500</v>
      </c>
      <c r="F24" s="153">
        <f>600/1.2</f>
        <v>500</v>
      </c>
      <c r="G24" s="153">
        <f t="shared" ref="G24:I24" si="7">600/1.2</f>
        <v>500</v>
      </c>
      <c r="H24" s="153">
        <f t="shared" si="7"/>
        <v>500</v>
      </c>
      <c r="I24" s="153">
        <f t="shared" si="7"/>
        <v>500</v>
      </c>
      <c r="J24" s="72"/>
      <c r="K24" s="72"/>
      <c r="L24" s="62"/>
      <c r="M24" s="62"/>
      <c r="N24" s="62"/>
      <c r="O24" s="63"/>
      <c r="P24" s="63"/>
      <c r="Q24" s="62"/>
      <c r="R24" s="9"/>
      <c r="S24" s="9"/>
      <c r="T24" s="9"/>
      <c r="U24" s="9"/>
      <c r="V24" s="9"/>
      <c r="W24" s="9"/>
      <c r="X24" s="9"/>
      <c r="Y24" s="9"/>
    </row>
    <row r="25" spans="1:25" ht="15.6" x14ac:dyDescent="0.3">
      <c r="A25" s="44" t="s">
        <v>12</v>
      </c>
      <c r="B25" s="156" t="s">
        <v>17</v>
      </c>
      <c r="C25" s="69" t="s">
        <v>13</v>
      </c>
      <c r="D25" s="70"/>
      <c r="E25" s="74"/>
      <c r="F25" s="74"/>
      <c r="G25" s="74"/>
      <c r="H25" s="74"/>
      <c r="I25" s="74"/>
      <c r="J25" s="72"/>
      <c r="K25" s="72"/>
      <c r="L25" s="62"/>
      <c r="M25" s="62"/>
      <c r="N25" s="62"/>
      <c r="O25" s="63"/>
      <c r="P25" s="63"/>
      <c r="Q25" s="62"/>
      <c r="R25" s="9"/>
      <c r="S25" s="9"/>
      <c r="T25" s="9"/>
      <c r="U25" s="9"/>
      <c r="V25" s="9"/>
      <c r="W25" s="9"/>
      <c r="X25" s="9"/>
      <c r="Y25" s="9"/>
    </row>
    <row r="26" spans="1:25" ht="15.6" x14ac:dyDescent="0.3">
      <c r="A26" s="44" t="s">
        <v>19</v>
      </c>
      <c r="B26" s="156" t="s">
        <v>18</v>
      </c>
      <c r="C26" s="69" t="s">
        <v>23</v>
      </c>
      <c r="D26" s="70"/>
      <c r="E26" s="74"/>
      <c r="F26" s="74"/>
      <c r="G26" s="74"/>
      <c r="H26" s="74"/>
      <c r="I26" s="74"/>
      <c r="J26" s="72"/>
      <c r="K26" s="72"/>
      <c r="L26" s="62"/>
      <c r="M26" s="62"/>
      <c r="N26" s="62"/>
      <c r="O26" s="63"/>
      <c r="P26" s="63"/>
      <c r="Q26" s="62"/>
      <c r="R26" s="9"/>
      <c r="S26" s="9"/>
      <c r="T26" s="9"/>
      <c r="U26" s="9"/>
      <c r="V26" s="9"/>
      <c r="W26" s="9"/>
      <c r="X26" s="9"/>
      <c r="Y26" s="9"/>
    </row>
    <row r="27" spans="1:25" ht="15.6" x14ac:dyDescent="0.3">
      <c r="A27" s="44" t="s">
        <v>19</v>
      </c>
      <c r="B27" s="156" t="s">
        <v>15</v>
      </c>
      <c r="C27" s="69" t="s">
        <v>13</v>
      </c>
      <c r="D27" s="70"/>
      <c r="E27" s="74"/>
      <c r="F27" s="74"/>
      <c r="G27" s="74"/>
      <c r="H27" s="74"/>
      <c r="I27" s="74"/>
      <c r="J27" s="72"/>
      <c r="K27" s="72"/>
      <c r="L27" s="62"/>
      <c r="M27" s="62"/>
      <c r="N27" s="62"/>
      <c r="O27" s="63"/>
      <c r="P27" s="63"/>
      <c r="Q27" s="62"/>
      <c r="R27" s="9"/>
      <c r="S27" s="9"/>
      <c r="T27" s="9"/>
      <c r="U27" s="9"/>
      <c r="V27" s="9"/>
      <c r="W27" s="9"/>
      <c r="X27" s="9"/>
      <c r="Y27" s="9"/>
    </row>
    <row r="28" spans="1:25" ht="15.6" x14ac:dyDescent="0.3">
      <c r="A28" s="44" t="s">
        <v>19</v>
      </c>
      <c r="B28" s="156" t="s">
        <v>20</v>
      </c>
      <c r="C28" s="69" t="s">
        <v>13</v>
      </c>
      <c r="D28" s="70"/>
      <c r="E28" s="73">
        <f t="shared" ref="E28" si="8">144500/1.2</f>
        <v>120416.66666666667</v>
      </c>
      <c r="F28" s="73">
        <f>144500/1.2</f>
        <v>120416.66666666667</v>
      </c>
      <c r="G28" s="73">
        <f t="shared" ref="G28" si="9">144500/1.2</f>
        <v>120416.66666666667</v>
      </c>
      <c r="H28" s="73">
        <f>144500/1.2</f>
        <v>120416.66666666667</v>
      </c>
      <c r="I28" s="73">
        <f>144500/1.2</f>
        <v>120416.66666666667</v>
      </c>
      <c r="J28" s="72"/>
      <c r="K28" s="72"/>
      <c r="L28" s="62"/>
      <c r="M28" s="62"/>
      <c r="N28" s="62"/>
      <c r="O28" s="63"/>
      <c r="P28" s="63"/>
      <c r="Q28" s="62"/>
      <c r="R28" s="9"/>
      <c r="S28" s="9"/>
      <c r="T28" s="9"/>
      <c r="U28" s="9"/>
      <c r="V28" s="9"/>
      <c r="W28" s="9"/>
      <c r="X28" s="9"/>
      <c r="Y28" s="9"/>
    </row>
    <row r="29" spans="1:25" ht="15.6" x14ac:dyDescent="0.3">
      <c r="A29" s="44" t="s">
        <v>186</v>
      </c>
      <c r="B29" s="156"/>
      <c r="C29" s="69"/>
      <c r="D29" s="70"/>
      <c r="E29" s="73"/>
      <c r="F29" s="73"/>
      <c r="G29" s="73"/>
      <c r="H29" s="73">
        <v>4500</v>
      </c>
      <c r="I29" s="73">
        <v>4500</v>
      </c>
      <c r="J29" s="188">
        <v>4500</v>
      </c>
      <c r="K29" s="72"/>
      <c r="L29" s="62"/>
      <c r="M29" s="62"/>
      <c r="N29" s="62"/>
      <c r="O29" s="63"/>
      <c r="P29" s="63"/>
      <c r="Q29" s="62"/>
      <c r="R29" s="9"/>
      <c r="S29" s="9"/>
      <c r="T29" s="9"/>
      <c r="U29" s="9"/>
      <c r="V29" s="9"/>
      <c r="W29" s="9"/>
      <c r="X29" s="9"/>
      <c r="Y29" s="9"/>
    </row>
    <row r="30" spans="1:25" ht="15.6" x14ac:dyDescent="0.3">
      <c r="A30" s="44" t="s">
        <v>19</v>
      </c>
      <c r="B30" s="68" t="s">
        <v>122</v>
      </c>
      <c r="C30" s="69" t="s">
        <v>13</v>
      </c>
      <c r="D30" s="70"/>
      <c r="E30" s="152">
        <f>40992/1.2</f>
        <v>34160</v>
      </c>
      <c r="F30" s="152">
        <f>40992/1.2</f>
        <v>34160</v>
      </c>
      <c r="G30" s="152">
        <f t="shared" ref="G30:I30" si="10">40992/1.2</f>
        <v>34160</v>
      </c>
      <c r="H30" s="152">
        <f t="shared" si="10"/>
        <v>34160</v>
      </c>
      <c r="I30" s="152">
        <f t="shared" si="10"/>
        <v>34160</v>
      </c>
      <c r="J30" s="72"/>
      <c r="K30" s="72"/>
      <c r="L30" s="62"/>
      <c r="M30" s="62"/>
      <c r="N30" s="62"/>
      <c r="O30" s="63"/>
      <c r="P30" s="63"/>
      <c r="Q30" s="62"/>
      <c r="R30" s="9"/>
      <c r="S30" s="9"/>
      <c r="T30" s="9"/>
      <c r="U30" s="9"/>
      <c r="V30" s="9"/>
      <c r="W30" s="9"/>
      <c r="X30" s="9"/>
      <c r="Y30" s="9"/>
    </row>
    <row r="31" spans="1:25" ht="15.6" x14ac:dyDescent="0.3">
      <c r="A31" s="44" t="s">
        <v>19</v>
      </c>
      <c r="B31" s="68" t="s">
        <v>129</v>
      </c>
      <c r="C31" s="69" t="s">
        <v>13</v>
      </c>
      <c r="D31" s="70"/>
      <c r="E31" s="74"/>
      <c r="F31" s="74"/>
      <c r="G31" s="74"/>
      <c r="H31" s="74"/>
      <c r="I31" s="74"/>
      <c r="J31" s="72"/>
      <c r="K31" s="72"/>
      <c r="L31" s="62"/>
      <c r="M31" s="62"/>
      <c r="N31" s="62"/>
      <c r="O31" s="63"/>
      <c r="P31" s="63"/>
      <c r="Q31" s="62"/>
      <c r="R31" s="9"/>
      <c r="S31" s="9"/>
      <c r="T31" s="9"/>
      <c r="U31" s="9"/>
      <c r="V31" s="9"/>
      <c r="W31" s="9"/>
      <c r="X31" s="9"/>
      <c r="Y31" s="9"/>
    </row>
    <row r="32" spans="1:25" ht="15.6" x14ac:dyDescent="0.3">
      <c r="A32" s="44" t="s">
        <v>19</v>
      </c>
      <c r="B32" s="68" t="s">
        <v>130</v>
      </c>
      <c r="C32" s="69"/>
      <c r="D32" s="70"/>
      <c r="E32" s="74"/>
      <c r="F32" s="74"/>
      <c r="G32" s="74"/>
      <c r="H32" s="74"/>
      <c r="I32" s="74"/>
      <c r="J32" s="72"/>
      <c r="K32" s="72"/>
      <c r="L32" s="62"/>
      <c r="M32" s="62"/>
      <c r="N32" s="62"/>
      <c r="O32" s="63"/>
      <c r="P32" s="63"/>
      <c r="Q32" s="62"/>
      <c r="R32" s="9"/>
      <c r="S32" s="9"/>
      <c r="T32" s="9"/>
      <c r="U32" s="9"/>
      <c r="V32" s="9"/>
      <c r="W32" s="9"/>
      <c r="X32" s="9"/>
      <c r="Y32" s="9"/>
    </row>
    <row r="33" spans="1:25" ht="15.6" x14ac:dyDescent="0.3">
      <c r="A33" s="44" t="s">
        <v>19</v>
      </c>
      <c r="B33" s="68" t="s">
        <v>131</v>
      </c>
      <c r="C33" s="69" t="s">
        <v>13</v>
      </c>
      <c r="D33" s="70"/>
      <c r="E33" s="74"/>
      <c r="F33" s="74"/>
      <c r="G33" s="74"/>
      <c r="H33" s="74"/>
      <c r="I33" s="74"/>
      <c r="J33" s="72"/>
      <c r="K33" s="72"/>
      <c r="L33" s="62"/>
      <c r="M33" s="62"/>
      <c r="N33" s="62"/>
      <c r="O33" s="63"/>
      <c r="P33" s="63"/>
      <c r="Q33" s="62"/>
      <c r="R33" s="9"/>
      <c r="S33" s="9"/>
      <c r="T33" s="9"/>
      <c r="U33" s="9"/>
      <c r="V33" s="9"/>
      <c r="W33" s="9"/>
      <c r="X33" s="9"/>
      <c r="Y33" s="9"/>
    </row>
    <row r="34" spans="1:25" ht="15.6" x14ac:dyDescent="0.3">
      <c r="A34" s="44" t="s">
        <v>19</v>
      </c>
      <c r="B34" s="68" t="s">
        <v>132</v>
      </c>
      <c r="C34" s="69" t="s">
        <v>23</v>
      </c>
      <c r="D34" s="70"/>
      <c r="E34" s="152">
        <f>60000/1.2</f>
        <v>50000</v>
      </c>
      <c r="F34" s="152">
        <f>60000/1.2</f>
        <v>50000</v>
      </c>
      <c r="G34" s="152">
        <f t="shared" ref="G34:I34" si="11">60000/1.2</f>
        <v>50000</v>
      </c>
      <c r="H34" s="152">
        <f t="shared" si="11"/>
        <v>50000</v>
      </c>
      <c r="I34" s="152">
        <f t="shared" si="11"/>
        <v>50000</v>
      </c>
      <c r="J34" s="72"/>
      <c r="K34" s="72"/>
      <c r="L34" s="62"/>
      <c r="M34" s="62"/>
      <c r="N34" s="62"/>
      <c r="O34" s="63"/>
      <c r="P34" s="63"/>
      <c r="Q34" s="62"/>
      <c r="R34" s="9"/>
      <c r="S34" s="9"/>
      <c r="T34" s="9"/>
      <c r="U34" s="9"/>
      <c r="V34" s="9"/>
      <c r="W34" s="9"/>
      <c r="X34" s="9"/>
      <c r="Y34" s="9"/>
    </row>
    <row r="35" spans="1:25" ht="15.6" x14ac:dyDescent="0.3">
      <c r="A35" s="45" t="s">
        <v>21</v>
      </c>
      <c r="B35" s="68" t="s">
        <v>133</v>
      </c>
      <c r="C35" s="69" t="s">
        <v>13</v>
      </c>
      <c r="D35" s="70"/>
      <c r="E35" s="74"/>
      <c r="F35" s="74"/>
      <c r="G35" s="74"/>
      <c r="H35" s="74"/>
      <c r="I35" s="74"/>
      <c r="J35" s="72"/>
      <c r="K35" s="72"/>
      <c r="L35" s="62"/>
      <c r="M35" s="62"/>
      <c r="N35" s="62"/>
      <c r="O35" s="63"/>
      <c r="P35" s="63"/>
      <c r="Q35" s="62"/>
      <c r="R35" s="9"/>
      <c r="S35" s="9"/>
      <c r="T35" s="9"/>
      <c r="U35" s="9"/>
      <c r="V35" s="9"/>
      <c r="W35" s="9"/>
      <c r="X35" s="9"/>
      <c r="Y35" s="9"/>
    </row>
    <row r="36" spans="1:25" ht="15.6" x14ac:dyDescent="0.3">
      <c r="A36" s="45"/>
      <c r="B36" s="68" t="s">
        <v>22</v>
      </c>
      <c r="C36" s="69"/>
      <c r="D36" s="70"/>
      <c r="E36" s="74"/>
      <c r="F36" s="74"/>
      <c r="G36" s="74"/>
      <c r="H36" s="74"/>
      <c r="I36" s="74"/>
      <c r="J36" s="72"/>
      <c r="K36" s="72"/>
      <c r="L36" s="62"/>
      <c r="M36" s="62"/>
      <c r="N36" s="62"/>
      <c r="O36" s="63"/>
      <c r="P36" s="63"/>
      <c r="Q36" s="62"/>
      <c r="R36" s="9"/>
      <c r="S36" s="9"/>
      <c r="T36" s="9"/>
      <c r="U36" s="9"/>
      <c r="V36" s="9"/>
      <c r="W36" s="9"/>
      <c r="X36" s="9"/>
      <c r="Y36" s="9"/>
    </row>
    <row r="37" spans="1:25" ht="16.2" thickBot="1" x14ac:dyDescent="0.35">
      <c r="A37" s="41"/>
      <c r="B37" s="75" t="s">
        <v>143</v>
      </c>
      <c r="C37" s="76"/>
      <c r="D37" s="77"/>
      <c r="E37" s="78">
        <f t="shared" ref="E37:K37" si="12">SUM(E13:E36)</f>
        <v>1203914.1666666667</v>
      </c>
      <c r="F37" s="78">
        <f t="shared" si="12"/>
        <v>1208084.1666666667</v>
      </c>
      <c r="G37" s="78">
        <f t="shared" si="12"/>
        <v>1208084.1666666667</v>
      </c>
      <c r="H37" s="78">
        <f t="shared" si="12"/>
        <v>1212584.1666666667</v>
      </c>
      <c r="I37" s="78">
        <f t="shared" si="12"/>
        <v>1212586.1666666667</v>
      </c>
      <c r="J37" s="78">
        <f t="shared" si="12"/>
        <v>4500</v>
      </c>
      <c r="K37" s="78">
        <f t="shared" si="12"/>
        <v>0</v>
      </c>
      <c r="L37" s="62"/>
      <c r="M37" s="62"/>
      <c r="N37" s="62"/>
      <c r="O37" s="63"/>
      <c r="P37" s="63"/>
      <c r="Q37" s="62"/>
      <c r="R37" s="9"/>
      <c r="S37" s="9"/>
      <c r="T37" s="9"/>
      <c r="U37" s="9"/>
      <c r="V37" s="9"/>
      <c r="W37" s="9"/>
      <c r="X37" s="9"/>
      <c r="Y37" s="9"/>
    </row>
    <row r="38" spans="1:25" ht="15.6" x14ac:dyDescent="0.3">
      <c r="A38" s="22" t="s">
        <v>34</v>
      </c>
      <c r="B38" s="12" t="s">
        <v>52</v>
      </c>
      <c r="C38" s="79" t="s">
        <v>24</v>
      </c>
      <c r="D38" s="224"/>
      <c r="E38" s="230">
        <f>292150</f>
        <v>292150</v>
      </c>
      <c r="F38" s="99">
        <f>22070*130.8/131.2</f>
        <v>22002.713414634152</v>
      </c>
      <c r="G38" s="222">
        <f>SUM(F38:F43)</f>
        <v>315207.06402439025</v>
      </c>
      <c r="H38" s="91">
        <f>26920*130.8/131.2</f>
        <v>26837.926829268297</v>
      </c>
      <c r="I38" s="214">
        <f>SUM(H38:H43)</f>
        <v>313059.63109756104</v>
      </c>
      <c r="J38" s="171">
        <f>H38-F38</f>
        <v>4835.213414634145</v>
      </c>
      <c r="K38" s="204">
        <f>I38-G38</f>
        <v>-2147.4329268292058</v>
      </c>
      <c r="L38" s="80"/>
      <c r="M38" s="80"/>
      <c r="N38" s="80"/>
      <c r="O38" s="63"/>
      <c r="P38" s="63"/>
      <c r="Q38" s="80"/>
      <c r="R38" s="9"/>
      <c r="S38" s="9"/>
      <c r="T38" s="9"/>
      <c r="U38" s="9"/>
      <c r="V38" s="9"/>
      <c r="W38" s="9"/>
      <c r="X38" s="9"/>
      <c r="Y38" s="9"/>
    </row>
    <row r="39" spans="1:25" ht="15.6" x14ac:dyDescent="0.3">
      <c r="A39" s="23" t="s">
        <v>34</v>
      </c>
      <c r="B39" s="18" t="s">
        <v>53</v>
      </c>
      <c r="C39" s="59" t="s">
        <v>24</v>
      </c>
      <c r="D39" s="225"/>
      <c r="E39" s="231"/>
      <c r="F39" s="100">
        <f>117674*130.8/131.2</f>
        <v>117315.23780487807</v>
      </c>
      <c r="G39" s="223"/>
      <c r="H39" s="169">
        <f>122573*130.8/131.2</f>
        <v>122199.30182926833</v>
      </c>
      <c r="I39" s="215"/>
      <c r="J39" s="187">
        <f t="shared" ref="J39:J102" si="13">H39-F39</f>
        <v>4884.0640243902599</v>
      </c>
      <c r="K39" s="205"/>
      <c r="L39" s="62"/>
      <c r="M39" s="62"/>
      <c r="N39" s="62"/>
      <c r="O39" s="63"/>
      <c r="P39" s="63"/>
      <c r="Q39" s="62"/>
      <c r="R39" s="9"/>
      <c r="S39" s="9"/>
      <c r="T39" s="9"/>
      <c r="U39" s="9"/>
      <c r="V39" s="9"/>
      <c r="W39" s="9"/>
      <c r="X39" s="9"/>
      <c r="Y39" s="9"/>
    </row>
    <row r="40" spans="1:25" ht="15.6" x14ac:dyDescent="0.3">
      <c r="A40" s="23" t="s">
        <v>34</v>
      </c>
      <c r="B40" s="18" t="s">
        <v>54</v>
      </c>
      <c r="C40" s="59" t="s">
        <v>24</v>
      </c>
      <c r="D40" s="225"/>
      <c r="E40" s="231"/>
      <c r="F40" s="48">
        <f>39530*130.8/131.2</f>
        <v>39409.481707317078</v>
      </c>
      <c r="G40" s="223"/>
      <c r="H40" s="48">
        <f>50930*130.8/131.2</f>
        <v>50774.725609756111</v>
      </c>
      <c r="I40" s="215"/>
      <c r="J40" s="173">
        <f t="shared" si="13"/>
        <v>11365.243902439033</v>
      </c>
      <c r="K40" s="205"/>
      <c r="L40" s="62"/>
      <c r="M40" s="62"/>
      <c r="N40" s="62"/>
      <c r="O40" s="63"/>
      <c r="P40" s="63"/>
      <c r="Q40" s="62"/>
      <c r="R40" s="9"/>
      <c r="S40" s="9"/>
      <c r="T40" s="9"/>
      <c r="U40" s="9"/>
      <c r="V40" s="9"/>
      <c r="W40" s="9"/>
      <c r="X40" s="9"/>
      <c r="Y40" s="9"/>
    </row>
    <row r="41" spans="1:25" ht="15.6" x14ac:dyDescent="0.3">
      <c r="A41" s="23" t="s">
        <v>34</v>
      </c>
      <c r="B41" s="18" t="s">
        <v>33</v>
      </c>
      <c r="C41" s="59" t="s">
        <v>24</v>
      </c>
      <c r="D41" s="225"/>
      <c r="E41" s="231"/>
      <c r="F41" s="48">
        <f>62597*130.8/131.2</f>
        <v>62406.155487804885</v>
      </c>
      <c r="G41" s="223"/>
      <c r="H41" s="48">
        <f>62704*130.8/131.2</f>
        <v>62512.829268292699</v>
      </c>
      <c r="I41" s="215"/>
      <c r="J41" s="173">
        <f t="shared" si="13"/>
        <v>106.67378048781393</v>
      </c>
      <c r="K41" s="205"/>
      <c r="L41" s="62"/>
      <c r="M41" s="62"/>
      <c r="N41" s="62"/>
      <c r="O41" s="63"/>
      <c r="P41" s="63"/>
      <c r="Q41" s="62"/>
      <c r="R41" s="9"/>
      <c r="S41" s="9"/>
      <c r="T41" s="9"/>
      <c r="U41" s="9"/>
      <c r="V41" s="9"/>
      <c r="W41" s="9"/>
      <c r="X41" s="9"/>
      <c r="Y41" s="9"/>
    </row>
    <row r="42" spans="1:25" ht="15.6" x14ac:dyDescent="0.3">
      <c r="A42" s="23" t="s">
        <v>34</v>
      </c>
      <c r="B42" s="18" t="s">
        <v>55</v>
      </c>
      <c r="C42" s="59" t="s">
        <v>24</v>
      </c>
      <c r="D42" s="225"/>
      <c r="E42" s="231"/>
      <c r="F42" s="48">
        <f>58880*130.8/131.2</f>
        <v>58700.487804878059</v>
      </c>
      <c r="G42" s="223"/>
      <c r="H42" s="48">
        <f>33820*130.8/131.2</f>
        <v>33716.890243902439</v>
      </c>
      <c r="I42" s="215"/>
      <c r="J42" s="175">
        <f t="shared" si="13"/>
        <v>-24983.597560975621</v>
      </c>
      <c r="K42" s="205"/>
      <c r="L42" s="62"/>
      <c r="M42" s="62"/>
      <c r="N42" s="62"/>
      <c r="O42" s="63"/>
      <c r="P42" s="63"/>
      <c r="Q42" s="62"/>
      <c r="R42" s="9"/>
      <c r="S42" s="9"/>
      <c r="T42" s="9"/>
      <c r="U42" s="9"/>
      <c r="V42" s="9"/>
      <c r="W42" s="9"/>
      <c r="X42" s="9"/>
      <c r="Y42" s="9"/>
    </row>
    <row r="43" spans="1:25" ht="16.2" thickBot="1" x14ac:dyDescent="0.35">
      <c r="A43" s="24" t="s">
        <v>34</v>
      </c>
      <c r="B43" s="18" t="s">
        <v>56</v>
      </c>
      <c r="C43" s="59" t="s">
        <v>24</v>
      </c>
      <c r="D43" s="226"/>
      <c r="E43" s="232"/>
      <c r="F43" s="48">
        <f>15420*130.8/131.2</f>
        <v>15372.987804878052</v>
      </c>
      <c r="G43" s="223"/>
      <c r="H43" s="48">
        <f>17070*130.8/131.2</f>
        <v>17017.957317073171</v>
      </c>
      <c r="I43" s="215"/>
      <c r="J43" s="174">
        <f t="shared" si="13"/>
        <v>1644.969512195119</v>
      </c>
      <c r="K43" s="206"/>
      <c r="L43" s="62"/>
      <c r="M43" s="62"/>
      <c r="N43" s="62"/>
      <c r="O43" s="63"/>
      <c r="P43" s="63"/>
      <c r="Q43" s="62"/>
      <c r="R43" s="9"/>
      <c r="S43" s="9"/>
      <c r="T43" s="9"/>
      <c r="U43" s="9"/>
      <c r="V43" s="9"/>
      <c r="W43" s="9"/>
      <c r="X43" s="9"/>
      <c r="Y43" s="9"/>
    </row>
    <row r="44" spans="1:25" ht="16.2" thickBot="1" x14ac:dyDescent="0.35">
      <c r="A44" s="25" t="s">
        <v>35</v>
      </c>
      <c r="B44" s="13" t="s">
        <v>57</v>
      </c>
      <c r="C44" s="82" t="s">
        <v>24</v>
      </c>
      <c r="D44" s="83"/>
      <c r="E44" s="84">
        <v>64000</v>
      </c>
      <c r="F44" s="49">
        <f>109200*130.8/131.2</f>
        <v>108867.07317073173</v>
      </c>
      <c r="G44" s="101">
        <f>F44</f>
        <v>108867.07317073173</v>
      </c>
      <c r="H44" s="49">
        <f>121500*130.8/131.2</f>
        <v>121129.57317073173</v>
      </c>
      <c r="I44" s="189">
        <f>H44</f>
        <v>121129.57317073173</v>
      </c>
      <c r="J44" s="186">
        <f t="shared" si="13"/>
        <v>12262.5</v>
      </c>
      <c r="K44" s="186">
        <f>I44-G44</f>
        <v>12262.5</v>
      </c>
      <c r="L44" s="84"/>
      <c r="M44" s="84"/>
      <c r="N44" s="84"/>
      <c r="O44" s="63"/>
      <c r="P44" s="63"/>
      <c r="Q44" s="84"/>
      <c r="R44" s="9"/>
      <c r="S44" s="9"/>
      <c r="T44" s="9"/>
      <c r="U44" s="9"/>
      <c r="V44" s="9"/>
      <c r="W44" s="9"/>
      <c r="X44" s="9"/>
      <c r="Y44" s="9"/>
    </row>
    <row r="45" spans="1:25" ht="15.6" x14ac:dyDescent="0.3">
      <c r="A45" s="26" t="s">
        <v>36</v>
      </c>
      <c r="B45" s="18" t="s">
        <v>58</v>
      </c>
      <c r="C45" s="59" t="s">
        <v>24</v>
      </c>
      <c r="D45" s="224"/>
      <c r="E45" s="62">
        <v>310000</v>
      </c>
      <c r="F45" s="50">
        <f>310000*130.8/131.2</f>
        <v>309054.87804878049</v>
      </c>
      <c r="G45" s="223">
        <f>SUM(F45:F52)</f>
        <v>1056553.267253049</v>
      </c>
      <c r="H45" s="50">
        <f>270000*130.8/131.2</f>
        <v>269176.8292682927</v>
      </c>
      <c r="I45" s="215">
        <f>SUM(H45:H52)</f>
        <v>1014397.4670731709</v>
      </c>
      <c r="J45" s="177">
        <f t="shared" si="13"/>
        <v>-39878.048780487792</v>
      </c>
      <c r="K45" s="204">
        <f>I45-G45</f>
        <v>-42155.800179878017</v>
      </c>
      <c r="L45" s="62"/>
      <c r="M45" s="62"/>
      <c r="N45" s="62"/>
      <c r="O45" s="63"/>
      <c r="P45" s="63"/>
      <c r="Q45" s="62"/>
      <c r="R45" s="9"/>
      <c r="S45" s="9"/>
      <c r="T45" s="9"/>
      <c r="U45" s="9"/>
      <c r="V45" s="9"/>
      <c r="W45" s="9"/>
      <c r="X45" s="9"/>
      <c r="Y45" s="9"/>
    </row>
    <row r="46" spans="1:25" ht="15.6" x14ac:dyDescent="0.3">
      <c r="A46" s="26" t="s">
        <v>36</v>
      </c>
      <c r="B46" s="18" t="s">
        <v>182</v>
      </c>
      <c r="C46" s="59" t="s">
        <v>24</v>
      </c>
      <c r="D46" s="225"/>
      <c r="E46" s="62"/>
      <c r="F46" s="50">
        <f>0*130.8/131.2</f>
        <v>0</v>
      </c>
      <c r="G46" s="223"/>
      <c r="H46" s="50">
        <f>30000*130.8/131.2</f>
        <v>29908.536585365859</v>
      </c>
      <c r="I46" s="215"/>
      <c r="J46" s="172">
        <f t="shared" si="13"/>
        <v>29908.536585365859</v>
      </c>
      <c r="K46" s="205"/>
      <c r="L46" s="62"/>
      <c r="M46" s="62"/>
      <c r="N46" s="62"/>
      <c r="O46" s="63"/>
      <c r="P46" s="63"/>
      <c r="Q46" s="62"/>
      <c r="R46" s="9"/>
      <c r="S46" s="9"/>
      <c r="T46" s="9"/>
      <c r="U46" s="9"/>
      <c r="V46" s="9"/>
      <c r="W46" s="9"/>
      <c r="X46" s="9"/>
      <c r="Y46" s="9"/>
    </row>
    <row r="47" spans="1:25" ht="15.6" x14ac:dyDescent="0.3">
      <c r="A47" s="26" t="s">
        <v>36</v>
      </c>
      <c r="B47" s="18" t="s">
        <v>53</v>
      </c>
      <c r="C47" s="59" t="s">
        <v>24</v>
      </c>
      <c r="D47" s="225"/>
      <c r="E47" s="62"/>
      <c r="F47" s="50">
        <f>0*130.8/131.2</f>
        <v>0</v>
      </c>
      <c r="G47" s="223"/>
      <c r="H47" s="50">
        <f>5580*130.8/131.2</f>
        <v>5562.9878048780502</v>
      </c>
      <c r="I47" s="215"/>
      <c r="J47" s="172">
        <f t="shared" si="13"/>
        <v>5562.9878048780502</v>
      </c>
      <c r="K47" s="205"/>
      <c r="L47" s="62"/>
      <c r="M47" s="62"/>
      <c r="N47" s="62"/>
      <c r="O47" s="63"/>
      <c r="P47" s="63"/>
      <c r="Q47" s="62"/>
      <c r="R47" s="9"/>
      <c r="S47" s="9"/>
      <c r="T47" s="9"/>
      <c r="U47" s="9"/>
      <c r="V47" s="9"/>
      <c r="W47" s="9"/>
      <c r="X47" s="9"/>
      <c r="Y47" s="9"/>
    </row>
    <row r="48" spans="1:25" ht="15.6" x14ac:dyDescent="0.3">
      <c r="A48" s="26" t="s">
        <v>36</v>
      </c>
      <c r="B48" s="18" t="s">
        <v>59</v>
      </c>
      <c r="C48" s="59" t="s">
        <v>24</v>
      </c>
      <c r="D48" s="225"/>
      <c r="E48" s="231">
        <v>691235</v>
      </c>
      <c r="F48" s="48">
        <f>23035*130.8/131.2</f>
        <v>22964.77134146342</v>
      </c>
      <c r="G48" s="223"/>
      <c r="H48" s="48">
        <f>16250*130.8/131.2</f>
        <v>16200.457317073173</v>
      </c>
      <c r="I48" s="215"/>
      <c r="J48" s="175">
        <f t="shared" si="13"/>
        <v>-6764.3140243902471</v>
      </c>
      <c r="K48" s="205"/>
      <c r="L48" s="62"/>
      <c r="M48" s="62"/>
      <c r="N48" s="62"/>
      <c r="O48" s="63"/>
      <c r="P48" s="63"/>
      <c r="Q48" s="62"/>
      <c r="R48" s="9"/>
      <c r="S48" s="9"/>
      <c r="T48" s="9"/>
      <c r="U48" s="9"/>
      <c r="V48" s="9"/>
      <c r="W48" s="9"/>
      <c r="X48" s="9"/>
      <c r="Y48" s="9"/>
    </row>
    <row r="49" spans="1:25" ht="15.6" x14ac:dyDescent="0.3">
      <c r="A49" s="26" t="s">
        <v>36</v>
      </c>
      <c r="B49" s="18" t="s">
        <v>60</v>
      </c>
      <c r="C49" s="59" t="s">
        <v>24</v>
      </c>
      <c r="D49" s="225"/>
      <c r="E49" s="231"/>
      <c r="F49" s="48">
        <f>228710.8*130.8/131.2</f>
        <v>228013.51097560977</v>
      </c>
      <c r="G49" s="223"/>
      <c r="H49" s="48">
        <f>225907.48*130.8/131.2</f>
        <v>225218.73768292688</v>
      </c>
      <c r="I49" s="215"/>
      <c r="J49" s="175">
        <f t="shared" si="13"/>
        <v>-2794.7732926828903</v>
      </c>
      <c r="K49" s="205"/>
      <c r="L49" s="62"/>
      <c r="M49" s="62"/>
      <c r="N49" s="62"/>
      <c r="O49" s="63"/>
      <c r="P49" s="63"/>
      <c r="Q49" s="62"/>
      <c r="R49" s="9"/>
      <c r="S49" s="9"/>
      <c r="T49" s="9"/>
      <c r="U49" s="9"/>
      <c r="V49" s="9"/>
      <c r="W49" s="9"/>
      <c r="X49" s="9"/>
      <c r="Y49" s="9"/>
    </row>
    <row r="50" spans="1:25" ht="15.6" x14ac:dyDescent="0.3">
      <c r="A50" s="26" t="s">
        <v>36</v>
      </c>
      <c r="B50" s="18" t="s">
        <v>61</v>
      </c>
      <c r="C50" s="59" t="s">
        <v>24</v>
      </c>
      <c r="D50" s="225"/>
      <c r="E50" s="231"/>
      <c r="F50" s="48">
        <f>366238.517*130.8/131.2</f>
        <v>365121.9361554879</v>
      </c>
      <c r="G50" s="223"/>
      <c r="H50" s="48">
        <f>333908.12*130.8/131.2</f>
        <v>332890.10743902443</v>
      </c>
      <c r="I50" s="215"/>
      <c r="J50" s="175">
        <f t="shared" si="13"/>
        <v>-32231.828716463468</v>
      </c>
      <c r="K50" s="205"/>
      <c r="L50" s="62"/>
      <c r="M50" s="62"/>
      <c r="N50" s="62"/>
      <c r="O50" s="63"/>
      <c r="P50" s="63"/>
      <c r="Q50" s="62"/>
      <c r="R50" s="9"/>
      <c r="S50" s="9"/>
      <c r="T50" s="9"/>
      <c r="U50" s="9"/>
      <c r="V50" s="9"/>
      <c r="W50" s="9"/>
      <c r="X50" s="9"/>
      <c r="Y50" s="9"/>
    </row>
    <row r="51" spans="1:25" ht="27.6" x14ac:dyDescent="0.3">
      <c r="A51" s="26" t="s">
        <v>36</v>
      </c>
      <c r="B51" s="18" t="s">
        <v>62</v>
      </c>
      <c r="C51" s="170" t="s">
        <v>24</v>
      </c>
      <c r="D51" s="225"/>
      <c r="E51" s="231"/>
      <c r="F51" s="48">
        <f>128800*130.8/131.2</f>
        <v>128407.31707317074</v>
      </c>
      <c r="G51" s="223"/>
      <c r="H51" s="48">
        <f>107200*130.8/131.2</f>
        <v>106873.17073170735</v>
      </c>
      <c r="I51" s="215"/>
      <c r="J51" s="178">
        <f t="shared" si="13"/>
        <v>-21534.146341463391</v>
      </c>
      <c r="K51" s="205"/>
      <c r="L51" s="62"/>
      <c r="M51" s="62"/>
      <c r="N51" s="62"/>
      <c r="O51" s="63"/>
      <c r="P51" s="63"/>
      <c r="Q51" s="62"/>
      <c r="R51" s="9"/>
      <c r="S51" s="9"/>
      <c r="T51" s="9"/>
      <c r="U51" s="9"/>
      <c r="V51" s="9"/>
      <c r="W51" s="9"/>
      <c r="X51" s="9"/>
      <c r="Y51" s="9"/>
    </row>
    <row r="52" spans="1:25" ht="16.2" thickBot="1" x14ac:dyDescent="0.35">
      <c r="A52" s="26" t="s">
        <v>36</v>
      </c>
      <c r="B52" s="18" t="s">
        <v>63</v>
      </c>
      <c r="C52" s="95" t="s">
        <v>24</v>
      </c>
      <c r="D52" s="226"/>
      <c r="E52" s="232"/>
      <c r="F52" s="48">
        <f>3000*130.8/131.2</f>
        <v>2990.853658536586</v>
      </c>
      <c r="G52" s="223"/>
      <c r="H52" s="48">
        <f>28654*130.8/131.2</f>
        <v>28566.640243902442</v>
      </c>
      <c r="I52" s="215"/>
      <c r="J52" s="184">
        <f t="shared" si="13"/>
        <v>25575.786585365855</v>
      </c>
      <c r="K52" s="206"/>
      <c r="L52" s="62"/>
      <c r="M52" s="62"/>
      <c r="N52" s="62"/>
      <c r="O52" s="63"/>
      <c r="P52" s="63"/>
      <c r="Q52" s="62"/>
      <c r="R52" s="9"/>
      <c r="S52" s="9"/>
      <c r="T52" s="9"/>
      <c r="U52" s="9"/>
      <c r="V52" s="9"/>
      <c r="W52" s="9"/>
      <c r="X52" s="9"/>
      <c r="Y52" s="9"/>
    </row>
    <row r="53" spans="1:25" ht="15.6" x14ac:dyDescent="0.3">
      <c r="A53" s="27" t="s">
        <v>37</v>
      </c>
      <c r="B53" s="12" t="s">
        <v>64</v>
      </c>
      <c r="C53" s="59" t="s">
        <v>24</v>
      </c>
      <c r="D53" s="224"/>
      <c r="E53" s="230">
        <v>147526</v>
      </c>
      <c r="F53" s="51">
        <f>6650*130.8/131.2</f>
        <v>6629.7256097560994</v>
      </c>
      <c r="G53" s="222">
        <f>SUM(F53:F55)</f>
        <v>154788.64024390248</v>
      </c>
      <c r="H53" s="51">
        <f>11500*130.8/131.2</f>
        <v>11464.939024390247</v>
      </c>
      <c r="I53" s="214">
        <f>SUM(H53:H55)</f>
        <v>130134.03658536589</v>
      </c>
      <c r="J53" s="171">
        <f t="shared" si="13"/>
        <v>4835.2134146341477</v>
      </c>
      <c r="K53" s="204">
        <f>I53-G53</f>
        <v>-24654.603658536595</v>
      </c>
      <c r="L53" s="80"/>
      <c r="M53" s="80"/>
      <c r="N53" s="80"/>
      <c r="O53" s="63"/>
      <c r="P53" s="63"/>
      <c r="Q53" s="80"/>
      <c r="R53" s="9"/>
      <c r="S53" s="9"/>
      <c r="T53" s="9"/>
      <c r="U53" s="9"/>
      <c r="V53" s="9"/>
      <c r="W53" s="9"/>
      <c r="X53" s="9"/>
      <c r="Y53" s="9"/>
    </row>
    <row r="54" spans="1:25" ht="15.6" x14ac:dyDescent="0.3">
      <c r="A54" s="28" t="s">
        <v>37</v>
      </c>
      <c r="B54" s="18" t="s">
        <v>65</v>
      </c>
      <c r="C54" s="59" t="s">
        <v>24</v>
      </c>
      <c r="D54" s="225"/>
      <c r="E54" s="231"/>
      <c r="F54" s="48">
        <f>99622*130.8/131.2</f>
        <v>99318.274390243925</v>
      </c>
      <c r="G54" s="223"/>
      <c r="H54" s="48">
        <f>99622*130.8/131.2</f>
        <v>99318.274390243925</v>
      </c>
      <c r="I54" s="215"/>
      <c r="J54" s="175">
        <f t="shared" si="13"/>
        <v>0</v>
      </c>
      <c r="K54" s="205"/>
      <c r="L54" s="62"/>
      <c r="M54" s="62"/>
      <c r="N54" s="62"/>
      <c r="O54" s="63"/>
      <c r="P54" s="63"/>
      <c r="Q54" s="62"/>
      <c r="R54" s="9"/>
      <c r="S54" s="9"/>
      <c r="T54" s="9"/>
      <c r="U54" s="9"/>
      <c r="V54" s="9"/>
      <c r="W54" s="9"/>
      <c r="X54" s="9"/>
      <c r="Y54" s="9"/>
    </row>
    <row r="55" spans="1:25" ht="16.2" thickBot="1" x14ac:dyDescent="0.35">
      <c r="A55" s="29" t="s">
        <v>37</v>
      </c>
      <c r="B55" s="18" t="s">
        <v>63</v>
      </c>
      <c r="C55" s="95" t="s">
        <v>24</v>
      </c>
      <c r="D55" s="226"/>
      <c r="E55" s="232"/>
      <c r="F55" s="48">
        <f>48990*130.8/131.2</f>
        <v>48840.640243902453</v>
      </c>
      <c r="G55" s="223"/>
      <c r="H55" s="48">
        <f>19410*130.8/131.2</f>
        <v>19350.82317073171</v>
      </c>
      <c r="I55" s="215"/>
      <c r="J55" s="176">
        <f t="shared" si="13"/>
        <v>-29489.817073170743</v>
      </c>
      <c r="K55" s="206"/>
      <c r="L55" s="62"/>
      <c r="M55" s="62"/>
      <c r="N55" s="62"/>
      <c r="O55" s="63"/>
      <c r="P55" s="63"/>
      <c r="Q55" s="62"/>
      <c r="R55" s="9"/>
      <c r="S55" s="9"/>
      <c r="T55" s="9"/>
      <c r="U55" s="9"/>
      <c r="V55" s="9"/>
      <c r="W55" s="9"/>
      <c r="X55" s="9"/>
      <c r="Y55" s="9"/>
    </row>
    <row r="56" spans="1:25" ht="15.6" x14ac:dyDescent="0.3">
      <c r="A56" s="30" t="s">
        <v>38</v>
      </c>
      <c r="B56" s="12" t="s">
        <v>66</v>
      </c>
      <c r="C56" s="59" t="s">
        <v>24</v>
      </c>
      <c r="D56" s="224"/>
      <c r="E56" s="230">
        <v>130740</v>
      </c>
      <c r="F56" s="51">
        <f>86430*130.8/131.2</f>
        <v>86166.493902439048</v>
      </c>
      <c r="G56" s="222">
        <f>SUM(F56:F59)</f>
        <v>155609.13109756101</v>
      </c>
      <c r="H56" s="51">
        <f>91730*130.8/131.2</f>
        <v>91450.33536585368</v>
      </c>
      <c r="I56" s="214">
        <f>SUM(H56:H59)</f>
        <v>217315.42682926834</v>
      </c>
      <c r="J56" s="171">
        <f t="shared" si="13"/>
        <v>5283.841463414632</v>
      </c>
      <c r="K56" s="201">
        <f>I56-G56</f>
        <v>61706.295731707331</v>
      </c>
      <c r="L56" s="80"/>
      <c r="M56" s="80"/>
      <c r="N56" s="80"/>
      <c r="O56" s="63"/>
      <c r="P56" s="63"/>
      <c r="Q56" s="80"/>
      <c r="R56" s="9"/>
      <c r="S56" s="9"/>
      <c r="T56" s="9"/>
      <c r="U56" s="9"/>
      <c r="V56" s="9"/>
      <c r="W56" s="9"/>
      <c r="X56" s="9"/>
      <c r="Y56" s="9"/>
    </row>
    <row r="57" spans="1:25" ht="15.6" x14ac:dyDescent="0.3">
      <c r="A57" s="33" t="s">
        <v>38</v>
      </c>
      <c r="B57" s="18" t="s">
        <v>67</v>
      </c>
      <c r="C57" s="59" t="s">
        <v>24</v>
      </c>
      <c r="D57" s="225"/>
      <c r="E57" s="231"/>
      <c r="F57" s="48">
        <f>19655*130.8/131.2</f>
        <v>19595.076219512197</v>
      </c>
      <c r="G57" s="223"/>
      <c r="H57" s="48">
        <f>23855*130.8/131.2</f>
        <v>23782.27134146342</v>
      </c>
      <c r="I57" s="215"/>
      <c r="J57" s="173">
        <f t="shared" si="13"/>
        <v>4187.195121951223</v>
      </c>
      <c r="K57" s="202"/>
      <c r="L57" s="62"/>
      <c r="M57" s="62"/>
      <c r="N57" s="62"/>
      <c r="O57" s="63"/>
      <c r="P57" s="63"/>
      <c r="Q57" s="62"/>
      <c r="R57" s="9"/>
      <c r="S57" s="9"/>
      <c r="T57" s="9"/>
      <c r="U57" s="9"/>
      <c r="V57" s="9"/>
      <c r="W57" s="9"/>
      <c r="X57" s="9"/>
      <c r="Y57" s="9"/>
    </row>
    <row r="58" spans="1:25" ht="15.6" x14ac:dyDescent="0.3">
      <c r="A58" s="33" t="s">
        <v>38</v>
      </c>
      <c r="B58" s="18" t="s">
        <v>68</v>
      </c>
      <c r="C58" s="59" t="s">
        <v>24</v>
      </c>
      <c r="D58" s="225"/>
      <c r="E58" s="231"/>
      <c r="F58" s="48">
        <f>20800*130.8/131.2</f>
        <v>20736.585365853665</v>
      </c>
      <c r="G58" s="223"/>
      <c r="H58" s="48">
        <f>12100*130.8/131.2</f>
        <v>12063.109756097563</v>
      </c>
      <c r="I58" s="215"/>
      <c r="J58" s="175">
        <f t="shared" si="13"/>
        <v>-8673.4756097561021</v>
      </c>
      <c r="K58" s="202"/>
      <c r="L58" s="62"/>
      <c r="M58" s="62"/>
      <c r="N58" s="62"/>
      <c r="O58" s="63"/>
      <c r="P58" s="63"/>
      <c r="Q58" s="62"/>
      <c r="R58" s="9"/>
      <c r="S58" s="9"/>
      <c r="T58" s="9"/>
      <c r="U58" s="9"/>
      <c r="V58" s="9"/>
      <c r="W58" s="9"/>
      <c r="X58" s="9"/>
      <c r="Y58" s="9"/>
    </row>
    <row r="59" spans="1:25" ht="16.2" thickBot="1" x14ac:dyDescent="0.35">
      <c r="A59" s="31" t="s">
        <v>38</v>
      </c>
      <c r="B59" s="14" t="s">
        <v>69</v>
      </c>
      <c r="C59" s="95" t="s">
        <v>24</v>
      </c>
      <c r="D59" s="226"/>
      <c r="E59" s="232"/>
      <c r="F59" s="52">
        <f>29200*130.8/131.2</f>
        <v>29110.975609756104</v>
      </c>
      <c r="G59" s="233"/>
      <c r="H59" s="52">
        <f>90295*130.8/131.2</f>
        <v>90019.71036585368</v>
      </c>
      <c r="I59" s="216"/>
      <c r="J59" s="184">
        <f t="shared" si="13"/>
        <v>60908.734756097576</v>
      </c>
      <c r="K59" s="203"/>
      <c r="L59" s="85"/>
      <c r="M59" s="85"/>
      <c r="N59" s="85"/>
      <c r="O59" s="63"/>
      <c r="P59" s="63"/>
      <c r="Q59" s="85"/>
      <c r="R59" s="9"/>
      <c r="S59" s="9"/>
      <c r="T59" s="9"/>
      <c r="U59" s="9"/>
      <c r="V59" s="9"/>
      <c r="W59" s="9"/>
      <c r="X59" s="9"/>
      <c r="Y59" s="9"/>
    </row>
    <row r="60" spans="1:25" ht="16.2" thickBot="1" x14ac:dyDescent="0.35">
      <c r="A60" s="28" t="s">
        <v>39</v>
      </c>
      <c r="B60" s="18" t="s">
        <v>70</v>
      </c>
      <c r="C60" s="82" t="s">
        <v>24</v>
      </c>
      <c r="D60" s="192"/>
      <c r="E60" s="86">
        <v>222950</v>
      </c>
      <c r="F60" s="50">
        <f>211640*130.8/131.2</f>
        <v>210994.75609756101</v>
      </c>
      <c r="G60" s="87">
        <f>F60</f>
        <v>210994.75609756101</v>
      </c>
      <c r="H60" s="50">
        <f>189700*130.8/131.2</f>
        <v>189121.64634146346</v>
      </c>
      <c r="I60" s="190">
        <f>H60</f>
        <v>189121.64634146346</v>
      </c>
      <c r="J60" s="181">
        <f t="shared" si="13"/>
        <v>-21873.109756097547</v>
      </c>
      <c r="K60" s="185">
        <f>I60-G60</f>
        <v>-21873.109756097547</v>
      </c>
      <c r="L60" s="62"/>
      <c r="M60" s="62"/>
      <c r="N60" s="62"/>
      <c r="O60" s="63"/>
      <c r="P60" s="63"/>
      <c r="Q60" s="62"/>
      <c r="R60" s="9"/>
      <c r="S60" s="9"/>
      <c r="T60" s="9"/>
      <c r="U60" s="9"/>
      <c r="V60" s="9"/>
      <c r="W60" s="9"/>
      <c r="X60" s="9"/>
      <c r="Y60" s="9"/>
    </row>
    <row r="61" spans="1:25" ht="15.6" x14ac:dyDescent="0.3">
      <c r="A61" s="30" t="s">
        <v>40</v>
      </c>
      <c r="B61" s="12" t="s">
        <v>71</v>
      </c>
      <c r="C61" s="59" t="s">
        <v>24</v>
      </c>
      <c r="D61" s="224"/>
      <c r="E61" s="230">
        <v>128450</v>
      </c>
      <c r="F61" s="51">
        <f>28900*130.8/131.2</f>
        <v>28811.890243902446</v>
      </c>
      <c r="G61" s="227">
        <f>SUM(F61:F62)</f>
        <v>139224.23780487807</v>
      </c>
      <c r="H61" s="51">
        <f>0*130.8/131.2</f>
        <v>0</v>
      </c>
      <c r="I61" s="211">
        <f>SUM(H61:H62)</f>
        <v>110412.34756097563</v>
      </c>
      <c r="J61" s="177">
        <f t="shared" si="13"/>
        <v>-28811.890243902446</v>
      </c>
      <c r="K61" s="209">
        <f>I61-G61</f>
        <v>-28811.890243902439</v>
      </c>
      <c r="L61" s="79"/>
      <c r="M61" s="79"/>
      <c r="N61" s="79"/>
      <c r="O61" s="63"/>
      <c r="P61" s="63"/>
      <c r="Q61" s="79"/>
    </row>
    <row r="62" spans="1:25" ht="16.2" thickBot="1" x14ac:dyDescent="0.35">
      <c r="A62" s="31" t="s">
        <v>40</v>
      </c>
      <c r="B62" s="14" t="s">
        <v>72</v>
      </c>
      <c r="C62" s="95" t="s">
        <v>24</v>
      </c>
      <c r="D62" s="226"/>
      <c r="E62" s="232"/>
      <c r="F62" s="52">
        <f>110750*130.8/131.2</f>
        <v>110412.34756097563</v>
      </c>
      <c r="G62" s="229"/>
      <c r="H62" s="52">
        <f>110750*130.8/131.2</f>
        <v>110412.34756097563</v>
      </c>
      <c r="I62" s="213"/>
      <c r="J62" s="176">
        <f t="shared" si="13"/>
        <v>0</v>
      </c>
      <c r="K62" s="210"/>
      <c r="L62" s="85"/>
      <c r="M62" s="85"/>
      <c r="N62" s="85"/>
      <c r="O62" s="63"/>
      <c r="P62" s="63"/>
      <c r="Q62" s="85"/>
      <c r="R62" s="9"/>
      <c r="S62" s="9"/>
      <c r="T62" s="9"/>
      <c r="U62" s="9"/>
      <c r="V62" s="9"/>
      <c r="W62" s="9"/>
      <c r="X62" s="9"/>
      <c r="Y62" s="9"/>
    </row>
    <row r="63" spans="1:25" ht="15.6" x14ac:dyDescent="0.3">
      <c r="A63" s="27" t="s">
        <v>41</v>
      </c>
      <c r="B63" s="12" t="s">
        <v>71</v>
      </c>
      <c r="C63" s="59" t="s">
        <v>24</v>
      </c>
      <c r="D63" s="224"/>
      <c r="E63" s="230">
        <f>321935+99696</f>
        <v>421631</v>
      </c>
      <c r="F63" s="51">
        <f>0*130.8/131.2</f>
        <v>0</v>
      </c>
      <c r="G63" s="227">
        <f>SUM(F63:F66)</f>
        <v>363936.84329268296</v>
      </c>
      <c r="H63" s="51">
        <f>28900*130.8/131.2</f>
        <v>28811.890243902446</v>
      </c>
      <c r="I63" s="211">
        <f>SUM(H63:H66)</f>
        <v>401793.27439024393</v>
      </c>
      <c r="J63" s="171">
        <f t="shared" si="13"/>
        <v>28811.890243902446</v>
      </c>
      <c r="K63" s="201">
        <f>I63-G63</f>
        <v>37856.43109756097</v>
      </c>
      <c r="L63" s="79"/>
      <c r="M63" s="79"/>
      <c r="N63" s="79"/>
      <c r="O63" s="63"/>
      <c r="P63" s="63"/>
      <c r="Q63" s="79"/>
    </row>
    <row r="64" spans="1:25" ht="15.6" x14ac:dyDescent="0.3">
      <c r="A64" s="28" t="s">
        <v>41</v>
      </c>
      <c r="B64" s="18" t="s">
        <v>73</v>
      </c>
      <c r="C64" s="59" t="s">
        <v>24</v>
      </c>
      <c r="D64" s="225"/>
      <c r="E64" s="231"/>
      <c r="F64" s="50">
        <f>243324*130.8/131.2</f>
        <v>242582.1585365854</v>
      </c>
      <c r="G64" s="236"/>
      <c r="H64" s="48">
        <f>237933*130.8/131.2</f>
        <v>237207.59451219515</v>
      </c>
      <c r="I64" s="240"/>
      <c r="J64" s="183">
        <f t="shared" si="13"/>
        <v>-5374.5640243902453</v>
      </c>
      <c r="K64" s="202"/>
      <c r="L64" s="59"/>
      <c r="M64" s="59"/>
      <c r="N64" s="59"/>
      <c r="O64" s="63"/>
      <c r="P64" s="63"/>
      <c r="Q64" s="59"/>
    </row>
    <row r="65" spans="1:25" ht="15.6" x14ac:dyDescent="0.3">
      <c r="A65" s="28" t="s">
        <v>41</v>
      </c>
      <c r="B65" s="18" t="s">
        <v>74</v>
      </c>
      <c r="C65" s="59" t="s">
        <v>24</v>
      </c>
      <c r="D65" s="225"/>
      <c r="E65" s="231"/>
      <c r="F65" s="48">
        <f>44099*130.8/131.2</f>
        <v>43964.551829268297</v>
      </c>
      <c r="G65" s="228"/>
      <c r="H65" s="48">
        <f>49916*130.8/131.2</f>
        <v>49763.817073170743</v>
      </c>
      <c r="I65" s="212"/>
      <c r="J65" s="173">
        <f t="shared" si="13"/>
        <v>5799.2652439024459</v>
      </c>
      <c r="K65" s="202"/>
      <c r="L65" s="62"/>
      <c r="M65" s="62"/>
      <c r="N65" s="62"/>
      <c r="O65" s="63"/>
      <c r="P65" s="63"/>
      <c r="Q65" s="62"/>
      <c r="R65" s="9"/>
      <c r="S65" s="9"/>
      <c r="T65" s="9"/>
      <c r="U65" s="9"/>
      <c r="V65" s="9"/>
      <c r="W65" s="9"/>
      <c r="X65" s="9"/>
      <c r="Y65" s="9"/>
    </row>
    <row r="66" spans="1:25" ht="16.2" thickBot="1" x14ac:dyDescent="0.35">
      <c r="A66" s="29" t="s">
        <v>41</v>
      </c>
      <c r="B66" s="14" t="s">
        <v>75</v>
      </c>
      <c r="C66" s="95" t="s">
        <v>24</v>
      </c>
      <c r="D66" s="226"/>
      <c r="E66" s="232"/>
      <c r="F66" s="52">
        <f>77626.8*130.8/131.2</f>
        <v>77390.13292682929</v>
      </c>
      <c r="G66" s="229"/>
      <c r="H66" s="52">
        <f>86273*130.8/131.2</f>
        <v>86009.972560975613</v>
      </c>
      <c r="I66" s="213"/>
      <c r="J66" s="184">
        <f t="shared" si="13"/>
        <v>8619.8396341463231</v>
      </c>
      <c r="K66" s="203"/>
      <c r="L66" s="85"/>
      <c r="M66" s="85"/>
      <c r="N66" s="85"/>
      <c r="O66" s="63"/>
      <c r="P66" s="63"/>
      <c r="Q66" s="85"/>
      <c r="R66" s="9"/>
      <c r="S66" s="9"/>
      <c r="T66" s="9"/>
      <c r="U66" s="9"/>
      <c r="V66" s="9"/>
      <c r="W66" s="9"/>
      <c r="X66" s="9"/>
      <c r="Y66" s="9"/>
    </row>
    <row r="67" spans="1:25" ht="16.2" thickBot="1" x14ac:dyDescent="0.35">
      <c r="A67" s="32" t="s">
        <v>42</v>
      </c>
      <c r="B67" s="13" t="s">
        <v>74</v>
      </c>
      <c r="C67" s="82" t="s">
        <v>24</v>
      </c>
      <c r="D67" s="83"/>
      <c r="E67" s="84">
        <v>102000</v>
      </c>
      <c r="F67" s="49">
        <f>56068*130.8/131.2</f>
        <v>55897.060975609762</v>
      </c>
      <c r="G67" s="88">
        <f>F67</f>
        <v>55897.060975609762</v>
      </c>
      <c r="H67" s="49">
        <f>51328*130.8/131.2</f>
        <v>51171.512195121955</v>
      </c>
      <c r="I67" s="191">
        <f>H67</f>
        <v>51171.512195121955</v>
      </c>
      <c r="J67" s="181">
        <f t="shared" si="13"/>
        <v>-4725.5487804878067</v>
      </c>
      <c r="K67" s="182">
        <f>I67-G67</f>
        <v>-4725.5487804878067</v>
      </c>
      <c r="L67" s="82"/>
      <c r="M67" s="82"/>
      <c r="N67" s="82"/>
      <c r="O67" s="63"/>
      <c r="P67" s="63"/>
      <c r="Q67" s="82"/>
    </row>
    <row r="68" spans="1:25" ht="15.6" x14ac:dyDescent="0.3">
      <c r="A68" s="27" t="s">
        <v>43</v>
      </c>
      <c r="B68" s="18" t="s">
        <v>76</v>
      </c>
      <c r="C68" s="59" t="s">
        <v>24</v>
      </c>
      <c r="D68" s="224"/>
      <c r="E68" s="230">
        <f>321240-72000+36000+17000+161000</f>
        <v>463240</v>
      </c>
      <c r="F68" s="50">
        <f>147500*130.8/131.2</f>
        <v>147050.3048780488</v>
      </c>
      <c r="G68" s="236">
        <f>SUM(F68:F75)</f>
        <v>486512.19711585372</v>
      </c>
      <c r="H68" s="50">
        <f>150120*130.8/131.2</f>
        <v>149662.31707317074</v>
      </c>
      <c r="I68" s="240">
        <f>SUM(H68:H75)</f>
        <v>483132.53048780496</v>
      </c>
      <c r="J68" s="171">
        <f t="shared" si="13"/>
        <v>2612.0121951219335</v>
      </c>
      <c r="K68" s="204">
        <f>I68-G68</f>
        <v>-3379.6666280487552</v>
      </c>
      <c r="L68" s="59"/>
      <c r="M68" s="59"/>
      <c r="N68" s="59"/>
      <c r="O68" s="63"/>
      <c r="P68" s="63"/>
      <c r="Q68" s="59"/>
    </row>
    <row r="69" spans="1:25" ht="15.6" x14ac:dyDescent="0.3">
      <c r="A69" s="28" t="s">
        <v>43</v>
      </c>
      <c r="B69" s="18" t="s">
        <v>77</v>
      </c>
      <c r="C69" s="59" t="s">
        <v>24</v>
      </c>
      <c r="D69" s="225"/>
      <c r="E69" s="231"/>
      <c r="F69" s="48">
        <f>11400*130.8/131.2</f>
        <v>11365.243902439028</v>
      </c>
      <c r="G69" s="228"/>
      <c r="H69" s="48">
        <f>17400*130.8/131.2</f>
        <v>17346.951219512197</v>
      </c>
      <c r="I69" s="212"/>
      <c r="J69" s="173">
        <f t="shared" si="13"/>
        <v>5981.7073170731692</v>
      </c>
      <c r="K69" s="205"/>
      <c r="L69" s="62"/>
      <c r="M69" s="62"/>
      <c r="N69" s="62"/>
      <c r="O69" s="63"/>
      <c r="P69" s="63"/>
      <c r="Q69" s="62"/>
      <c r="R69" s="9"/>
      <c r="S69" s="9"/>
      <c r="T69" s="9"/>
      <c r="U69" s="9"/>
      <c r="V69" s="9"/>
      <c r="W69" s="9"/>
      <c r="X69" s="9"/>
      <c r="Y69" s="9"/>
    </row>
    <row r="70" spans="1:25" ht="15.6" x14ac:dyDescent="0.3">
      <c r="A70" s="28" t="s">
        <v>43</v>
      </c>
      <c r="B70" s="18" t="s">
        <v>78</v>
      </c>
      <c r="C70" s="59" t="s">
        <v>24</v>
      </c>
      <c r="D70" s="225"/>
      <c r="E70" s="231"/>
      <c r="F70" s="48">
        <f>62900*130.8/131.2</f>
        <v>62708.231707317085</v>
      </c>
      <c r="G70" s="228"/>
      <c r="H70" s="48">
        <f>67400*130.8/131.2</f>
        <v>67194.512195121963</v>
      </c>
      <c r="I70" s="212"/>
      <c r="J70" s="173">
        <f t="shared" si="13"/>
        <v>4486.2804878048773</v>
      </c>
      <c r="K70" s="205"/>
      <c r="L70" s="62"/>
      <c r="M70" s="62"/>
      <c r="N70" s="62"/>
      <c r="O70" s="63"/>
      <c r="P70" s="63"/>
      <c r="Q70" s="62"/>
      <c r="R70" s="9"/>
      <c r="S70" s="9"/>
      <c r="T70" s="9"/>
      <c r="U70" s="9"/>
      <c r="V70" s="9"/>
      <c r="W70" s="9"/>
      <c r="X70" s="9"/>
      <c r="Y70" s="9"/>
    </row>
    <row r="71" spans="1:25" ht="15.6" x14ac:dyDescent="0.3">
      <c r="A71" s="28" t="s">
        <v>43</v>
      </c>
      <c r="B71" s="18" t="s">
        <v>79</v>
      </c>
      <c r="C71" s="59" t="s">
        <v>24</v>
      </c>
      <c r="D71" s="225"/>
      <c r="E71" s="231"/>
      <c r="F71" s="48">
        <f>111690*130.8/131.2</f>
        <v>111349.4817073171</v>
      </c>
      <c r="G71" s="228"/>
      <c r="H71" s="48">
        <f>90720*130.8/131.2</f>
        <v>90443.414634146364</v>
      </c>
      <c r="I71" s="212"/>
      <c r="J71" s="175">
        <f t="shared" si="13"/>
        <v>-20906.067073170736</v>
      </c>
      <c r="K71" s="205"/>
      <c r="L71" s="62"/>
      <c r="M71" s="62"/>
      <c r="N71" s="62"/>
      <c r="O71" s="63"/>
      <c r="P71" s="63"/>
      <c r="Q71" s="62"/>
      <c r="R71" s="9"/>
      <c r="S71" s="9"/>
      <c r="T71" s="9"/>
      <c r="U71" s="9"/>
      <c r="V71" s="9"/>
      <c r="W71" s="9"/>
      <c r="X71" s="9"/>
      <c r="Y71" s="9"/>
    </row>
    <row r="72" spans="1:25" ht="15.6" x14ac:dyDescent="0.3">
      <c r="A72" s="28" t="s">
        <v>43</v>
      </c>
      <c r="B72" s="18" t="s">
        <v>80</v>
      </c>
      <c r="C72" s="59" t="s">
        <v>24</v>
      </c>
      <c r="D72" s="225"/>
      <c r="E72" s="231"/>
      <c r="F72" s="48">
        <f>72700.002*130.8/131.2</f>
        <v>72478.35565243903</v>
      </c>
      <c r="G72" s="228"/>
      <c r="H72" s="48">
        <f>83200*130.8/131.2</f>
        <v>82946.341463414661</v>
      </c>
      <c r="I72" s="212"/>
      <c r="J72" s="173">
        <f t="shared" si="13"/>
        <v>10467.985810975631</v>
      </c>
      <c r="K72" s="205"/>
      <c r="L72" s="62"/>
      <c r="M72" s="62"/>
      <c r="N72" s="62"/>
      <c r="O72" s="63"/>
      <c r="P72" s="63"/>
      <c r="Q72" s="62"/>
      <c r="R72" s="9"/>
      <c r="S72" s="9"/>
      <c r="T72" s="9"/>
      <c r="U72" s="9"/>
      <c r="V72" s="9"/>
      <c r="W72" s="9"/>
      <c r="X72" s="9"/>
      <c r="Y72" s="9"/>
    </row>
    <row r="73" spans="1:25" ht="15.6" x14ac:dyDescent="0.3">
      <c r="A73" s="28" t="s">
        <v>43</v>
      </c>
      <c r="B73" s="18" t="s">
        <v>81</v>
      </c>
      <c r="C73" s="59" t="s">
        <v>24</v>
      </c>
      <c r="D73" s="225"/>
      <c r="E73" s="231"/>
      <c r="F73" s="48">
        <f>34050*130.8/131.2</f>
        <v>33946.189024390245</v>
      </c>
      <c r="G73" s="228"/>
      <c r="H73" s="48">
        <f>27250*130.8/131.2</f>
        <v>27166.920731707323</v>
      </c>
      <c r="I73" s="212"/>
      <c r="J73" s="175">
        <f t="shared" si="13"/>
        <v>-6779.268292682922</v>
      </c>
      <c r="K73" s="205"/>
      <c r="L73" s="62"/>
      <c r="M73" s="62"/>
      <c r="N73" s="62"/>
      <c r="O73" s="63"/>
      <c r="P73" s="63"/>
      <c r="Q73" s="62"/>
      <c r="R73" s="9"/>
      <c r="S73" s="9"/>
      <c r="T73" s="9"/>
      <c r="U73" s="9"/>
      <c r="V73" s="9"/>
      <c r="W73" s="9"/>
      <c r="X73" s="9"/>
      <c r="Y73" s="9"/>
    </row>
    <row r="74" spans="1:25" ht="15.6" x14ac:dyDescent="0.3">
      <c r="A74" s="28" t="s">
        <v>43</v>
      </c>
      <c r="B74" s="18" t="s">
        <v>82</v>
      </c>
      <c r="C74" s="59" t="s">
        <v>24</v>
      </c>
      <c r="D74" s="225"/>
      <c r="E74" s="231"/>
      <c r="F74" s="48">
        <f>25000*130.8/131.2</f>
        <v>24923.780487804885</v>
      </c>
      <c r="G74" s="228"/>
      <c r="H74" s="48">
        <f>24560*130.8/131.2</f>
        <v>24485.121951219517</v>
      </c>
      <c r="I74" s="212"/>
      <c r="J74" s="175">
        <f t="shared" si="13"/>
        <v>-438.65853658536798</v>
      </c>
      <c r="K74" s="205"/>
      <c r="L74" s="62"/>
      <c r="M74" s="62"/>
      <c r="N74" s="62"/>
      <c r="O74" s="63"/>
      <c r="P74" s="63"/>
      <c r="Q74" s="62"/>
      <c r="R74" s="9"/>
      <c r="S74" s="9"/>
      <c r="T74" s="9"/>
      <c r="U74" s="9"/>
      <c r="V74" s="9"/>
      <c r="W74" s="9"/>
      <c r="X74" s="9"/>
      <c r="Y74" s="9"/>
    </row>
    <row r="75" spans="1:25" ht="16.2" thickBot="1" x14ac:dyDescent="0.35">
      <c r="A75" s="29" t="s">
        <v>43</v>
      </c>
      <c r="B75" s="18" t="s">
        <v>69</v>
      </c>
      <c r="C75" s="95" t="s">
        <v>24</v>
      </c>
      <c r="D75" s="226"/>
      <c r="E75" s="232"/>
      <c r="F75" s="48">
        <f>22760*130.8/131.2</f>
        <v>22690.609756097565</v>
      </c>
      <c r="G75" s="228"/>
      <c r="H75" s="48">
        <f>23960*130.8/131.2</f>
        <v>23886.951219512201</v>
      </c>
      <c r="I75" s="212"/>
      <c r="J75" s="184">
        <f t="shared" si="13"/>
        <v>1196.3414634146357</v>
      </c>
      <c r="K75" s="206"/>
      <c r="L75" s="62"/>
      <c r="M75" s="62"/>
      <c r="N75" s="62"/>
      <c r="O75" s="63"/>
      <c r="P75" s="63"/>
      <c r="Q75" s="62"/>
      <c r="R75" s="9"/>
      <c r="S75" s="9"/>
      <c r="T75" s="9"/>
      <c r="U75" s="9"/>
      <c r="V75" s="9"/>
      <c r="W75" s="9"/>
      <c r="X75" s="9"/>
      <c r="Y75" s="9"/>
    </row>
    <row r="76" spans="1:25" ht="15.6" x14ac:dyDescent="0.3">
      <c r="A76" s="30" t="s">
        <v>44</v>
      </c>
      <c r="B76" s="12" t="s">
        <v>83</v>
      </c>
      <c r="C76" s="59" t="s">
        <v>24</v>
      </c>
      <c r="D76" s="224"/>
      <c r="E76" s="230">
        <v>191376</v>
      </c>
      <c r="F76" s="51">
        <f>179723*130.8/131.2</f>
        <v>179175.06402439027</v>
      </c>
      <c r="G76" s="227">
        <f>SUM(F76:F78)</f>
        <v>191676.83231707322</v>
      </c>
      <c r="H76" s="51">
        <f>155340*130.8/131.2</f>
        <v>154866.40243902442</v>
      </c>
      <c r="I76" s="211">
        <f>SUM(H76:H78)</f>
        <v>164975.4878048781</v>
      </c>
      <c r="J76" s="177">
        <f t="shared" si="13"/>
        <v>-24308.661585365859</v>
      </c>
      <c r="K76" s="204">
        <f>I76-G76</f>
        <v>-26701.344512195123</v>
      </c>
      <c r="L76" s="79"/>
      <c r="M76" s="79"/>
      <c r="N76" s="79"/>
      <c r="O76" s="63"/>
      <c r="P76" s="63"/>
      <c r="Q76" s="79"/>
    </row>
    <row r="77" spans="1:25" ht="15.6" x14ac:dyDescent="0.3">
      <c r="A77" s="33" t="s">
        <v>44</v>
      </c>
      <c r="B77" s="18" t="s">
        <v>84</v>
      </c>
      <c r="C77" s="59" t="s">
        <v>24</v>
      </c>
      <c r="D77" s="225"/>
      <c r="E77" s="231"/>
      <c r="F77" s="48">
        <f>5400*130.8/131.2</f>
        <v>5383.536585365855</v>
      </c>
      <c r="G77" s="228"/>
      <c r="H77" s="48">
        <f>3000*130.8/131.2</f>
        <v>2990.853658536586</v>
      </c>
      <c r="I77" s="212"/>
      <c r="J77" s="175">
        <f t="shared" si="13"/>
        <v>-2392.682926829269</v>
      </c>
      <c r="K77" s="205"/>
      <c r="L77" s="62"/>
      <c r="M77" s="62"/>
      <c r="N77" s="62"/>
      <c r="O77" s="63"/>
      <c r="P77" s="63"/>
      <c r="Q77" s="62"/>
      <c r="R77" s="9"/>
      <c r="S77" s="9"/>
      <c r="T77" s="9"/>
      <c r="U77" s="9"/>
      <c r="V77" s="9"/>
      <c r="W77" s="9"/>
      <c r="X77" s="9"/>
      <c r="Y77" s="9"/>
    </row>
    <row r="78" spans="1:25" ht="16.2" thickBot="1" x14ac:dyDescent="0.35">
      <c r="A78" s="31" t="s">
        <v>44</v>
      </c>
      <c r="B78" s="14" t="s">
        <v>63</v>
      </c>
      <c r="C78" s="95" t="s">
        <v>24</v>
      </c>
      <c r="D78" s="226"/>
      <c r="E78" s="232"/>
      <c r="F78" s="52">
        <f>7140*130.8/131.2</f>
        <v>7118.2317073170743</v>
      </c>
      <c r="G78" s="229"/>
      <c r="H78" s="52">
        <f>7140*130.8/131.2</f>
        <v>7118.2317073170743</v>
      </c>
      <c r="I78" s="213"/>
      <c r="J78" s="176">
        <f t="shared" si="13"/>
        <v>0</v>
      </c>
      <c r="K78" s="206"/>
      <c r="L78" s="85"/>
      <c r="M78" s="85"/>
      <c r="N78" s="85"/>
      <c r="O78" s="63"/>
      <c r="P78" s="63"/>
      <c r="Q78" s="85"/>
      <c r="R78" s="9"/>
      <c r="S78" s="9"/>
      <c r="T78" s="9"/>
      <c r="U78" s="9"/>
      <c r="V78" s="9"/>
      <c r="W78" s="9"/>
      <c r="X78" s="9"/>
      <c r="Y78" s="9"/>
    </row>
    <row r="79" spans="1:25" ht="14.4" customHeight="1" x14ac:dyDescent="0.3">
      <c r="A79" s="27" t="s">
        <v>45</v>
      </c>
      <c r="B79" s="12" t="s">
        <v>85</v>
      </c>
      <c r="C79" s="59" t="s">
        <v>24</v>
      </c>
      <c r="D79" s="224"/>
      <c r="E79" s="230">
        <v>72000</v>
      </c>
      <c r="F79" s="51">
        <f>18000*130.8/131.2</f>
        <v>17945.121951219513</v>
      </c>
      <c r="G79" s="227">
        <f>SUM(F79:F80)</f>
        <v>120032.92682926831</v>
      </c>
      <c r="H79" s="80">
        <f>18000*130.8/131.2</f>
        <v>17945.121951219513</v>
      </c>
      <c r="I79" s="211">
        <f>SUM(H79:H80)</f>
        <v>79058.231707317085</v>
      </c>
      <c r="J79" s="177">
        <f t="shared" si="13"/>
        <v>0</v>
      </c>
      <c r="K79" s="204">
        <f>I79-G79</f>
        <v>-40974.695121951227</v>
      </c>
      <c r="L79" s="79"/>
      <c r="M79" s="79"/>
      <c r="N79" s="79"/>
      <c r="O79" s="63"/>
      <c r="P79" s="63"/>
      <c r="Q79" s="79"/>
    </row>
    <row r="80" spans="1:25" ht="14.4" customHeight="1" thickBot="1" x14ac:dyDescent="0.35">
      <c r="A80" s="29" t="s">
        <v>45</v>
      </c>
      <c r="B80" s="14" t="s">
        <v>86</v>
      </c>
      <c r="C80" s="95" t="s">
        <v>24</v>
      </c>
      <c r="D80" s="226"/>
      <c r="E80" s="232"/>
      <c r="F80" s="53">
        <f>102400*130.8/131.2</f>
        <v>102087.8048780488</v>
      </c>
      <c r="G80" s="229"/>
      <c r="H80" s="85">
        <f>61300*130.8/131.2</f>
        <v>61113.109756097576</v>
      </c>
      <c r="I80" s="213"/>
      <c r="J80" s="176">
        <f t="shared" si="13"/>
        <v>-40974.695121951227</v>
      </c>
      <c r="K80" s="206"/>
      <c r="L80" s="85"/>
      <c r="M80" s="85"/>
      <c r="N80" s="85"/>
      <c r="O80" s="63"/>
      <c r="P80" s="63"/>
      <c r="Q80" s="85"/>
      <c r="R80" s="9"/>
      <c r="S80" s="9"/>
      <c r="T80" s="9"/>
      <c r="U80" s="9"/>
      <c r="V80" s="9"/>
      <c r="W80" s="9"/>
      <c r="X80" s="9"/>
      <c r="Y80" s="9"/>
    </row>
    <row r="81" spans="1:25" ht="15.6" x14ac:dyDescent="0.3">
      <c r="A81" s="30" t="s">
        <v>46</v>
      </c>
      <c r="B81" s="12" t="s">
        <v>87</v>
      </c>
      <c r="C81" s="59" t="s">
        <v>24</v>
      </c>
      <c r="D81" s="224"/>
      <c r="E81" s="230">
        <v>65000</v>
      </c>
      <c r="F81" s="54">
        <f>63740*130.8/131.2</f>
        <v>63545.670731707331</v>
      </c>
      <c r="G81" s="234">
        <f>SUM(F81:F82)</f>
        <v>72428.506097560996</v>
      </c>
      <c r="H81" s="80">
        <f>59510*130.8/131.2</f>
        <v>59328.567073170743</v>
      </c>
      <c r="I81" s="217">
        <f>SUM(H81:H82)</f>
        <v>68211.402439024401</v>
      </c>
      <c r="J81" s="177">
        <f t="shared" si="13"/>
        <v>-4217.1036585365873</v>
      </c>
      <c r="K81" s="207">
        <f>I81-G81</f>
        <v>-4217.1036585365946</v>
      </c>
      <c r="L81" s="79"/>
      <c r="M81" s="79"/>
      <c r="N81" s="79"/>
      <c r="O81" s="63"/>
      <c r="P81" s="63"/>
      <c r="Q81" s="79"/>
    </row>
    <row r="82" spans="1:25" ht="16.2" thickBot="1" x14ac:dyDescent="0.35">
      <c r="A82" s="31" t="s">
        <v>46</v>
      </c>
      <c r="B82" s="14" t="s">
        <v>88</v>
      </c>
      <c r="C82" s="95" t="s">
        <v>24</v>
      </c>
      <c r="D82" s="226"/>
      <c r="E82" s="232"/>
      <c r="F82" s="55">
        <f>8910*130.8/131.2</f>
        <v>8882.8353658536598</v>
      </c>
      <c r="G82" s="229"/>
      <c r="H82" s="85">
        <f>8910*130.8/131.2</f>
        <v>8882.8353658536598</v>
      </c>
      <c r="I82" s="213"/>
      <c r="J82" s="176">
        <f t="shared" si="13"/>
        <v>0</v>
      </c>
      <c r="K82" s="208"/>
      <c r="L82" s="85"/>
      <c r="M82" s="85"/>
      <c r="N82" s="85"/>
      <c r="O82" s="63"/>
      <c r="P82" s="63"/>
      <c r="Q82" s="85"/>
      <c r="R82" s="9"/>
      <c r="S82" s="9"/>
      <c r="T82" s="9"/>
      <c r="U82" s="9"/>
      <c r="V82" s="9"/>
      <c r="W82" s="9"/>
      <c r="X82" s="9"/>
      <c r="Y82" s="9"/>
    </row>
    <row r="83" spans="1:25" ht="15.6" x14ac:dyDescent="0.3">
      <c r="A83" s="27" t="s">
        <v>47</v>
      </c>
      <c r="B83" s="12" t="s">
        <v>89</v>
      </c>
      <c r="C83" s="59" t="s">
        <v>24</v>
      </c>
      <c r="D83" s="224"/>
      <c r="E83" s="230">
        <v>136000</v>
      </c>
      <c r="F83" s="54">
        <f>5600*130.8/131.2</f>
        <v>5582.9268292682937</v>
      </c>
      <c r="G83" s="234">
        <f>SUM(F83:F90)</f>
        <v>209933.00304878049</v>
      </c>
      <c r="H83" s="80">
        <f>6800*130.8/131.2</f>
        <v>6779.2682926829284</v>
      </c>
      <c r="I83" s="217">
        <f>SUM(H83:H90)</f>
        <v>199673.91768292684</v>
      </c>
      <c r="J83" s="171">
        <f t="shared" si="13"/>
        <v>1196.3414634146347</v>
      </c>
      <c r="K83" s="204">
        <f>I83-G83</f>
        <v>-10259.085365853651</v>
      </c>
      <c r="L83" s="79"/>
      <c r="M83" s="79"/>
      <c r="N83" s="79"/>
      <c r="O83" s="63"/>
      <c r="P83" s="63"/>
      <c r="Q83" s="79"/>
    </row>
    <row r="84" spans="1:25" ht="15.6" x14ac:dyDescent="0.3">
      <c r="A84" s="28"/>
      <c r="B84" s="18" t="s">
        <v>184</v>
      </c>
      <c r="C84" s="59" t="s">
        <v>24</v>
      </c>
      <c r="D84" s="225"/>
      <c r="E84" s="231"/>
      <c r="F84" s="56">
        <f>0*130.8/131.2</f>
        <v>0</v>
      </c>
      <c r="G84" s="235"/>
      <c r="H84" s="62">
        <f>4000*130.8/131.2</f>
        <v>3987.8048780487811</v>
      </c>
      <c r="I84" s="239"/>
      <c r="J84" s="173">
        <f t="shared" si="13"/>
        <v>3987.8048780487811</v>
      </c>
      <c r="K84" s="205"/>
      <c r="L84" s="59"/>
      <c r="M84" s="59"/>
      <c r="N84" s="59"/>
      <c r="O84" s="63"/>
      <c r="P84" s="63"/>
      <c r="Q84" s="59"/>
    </row>
    <row r="85" spans="1:25" ht="15.6" x14ac:dyDescent="0.3">
      <c r="A85" s="28" t="s">
        <v>47</v>
      </c>
      <c r="B85" s="18" t="s">
        <v>90</v>
      </c>
      <c r="C85" s="59" t="s">
        <v>24</v>
      </c>
      <c r="D85" s="225"/>
      <c r="E85" s="231"/>
      <c r="F85" s="56">
        <f>8250*130.8/131.2</f>
        <v>8224.8475609756097</v>
      </c>
      <c r="G85" s="228"/>
      <c r="H85" s="62">
        <f>2250+6000*130.8/131.2</f>
        <v>8231.707317073171</v>
      </c>
      <c r="I85" s="212"/>
      <c r="J85" s="175">
        <f t="shared" si="13"/>
        <v>6.8597560975613305</v>
      </c>
      <c r="K85" s="205"/>
      <c r="L85" s="62"/>
      <c r="M85" s="62"/>
      <c r="N85" s="62"/>
      <c r="O85" s="63"/>
      <c r="P85" s="63"/>
      <c r="Q85" s="62"/>
      <c r="R85" s="9"/>
      <c r="S85" s="9"/>
      <c r="T85" s="9"/>
      <c r="U85" s="9"/>
      <c r="V85" s="9"/>
      <c r="W85" s="9"/>
      <c r="X85" s="9"/>
      <c r="Y85" s="9"/>
    </row>
    <row r="86" spans="1:25" ht="15.6" x14ac:dyDescent="0.3">
      <c r="A86" s="28"/>
      <c r="B86" s="18" t="s">
        <v>185</v>
      </c>
      <c r="C86" s="59" t="s">
        <v>24</v>
      </c>
      <c r="D86" s="225"/>
      <c r="E86" s="231"/>
      <c r="F86" s="56">
        <f>0*130.8/131.2</f>
        <v>0</v>
      </c>
      <c r="G86" s="228"/>
      <c r="H86" s="62">
        <f>3540+240+360+1200*130.8/131.2</f>
        <v>5336.3414634146338</v>
      </c>
      <c r="I86" s="212"/>
      <c r="J86" s="173">
        <f t="shared" si="13"/>
        <v>5336.3414634146338</v>
      </c>
      <c r="K86" s="205"/>
      <c r="L86" s="62"/>
      <c r="M86" s="62"/>
      <c r="N86" s="62"/>
      <c r="O86" s="63"/>
      <c r="P86" s="63"/>
      <c r="Q86" s="62"/>
      <c r="R86" s="9"/>
      <c r="S86" s="9"/>
      <c r="T86" s="9"/>
      <c r="U86" s="9"/>
      <c r="V86" s="9"/>
      <c r="W86" s="9"/>
      <c r="X86" s="9"/>
      <c r="Y86" s="9"/>
    </row>
    <row r="87" spans="1:25" ht="15.6" x14ac:dyDescent="0.3">
      <c r="A87" s="28" t="s">
        <v>47</v>
      </c>
      <c r="B87" s="18" t="s">
        <v>91</v>
      </c>
      <c r="C87" s="59" t="s">
        <v>24</v>
      </c>
      <c r="D87" s="225"/>
      <c r="E87" s="231"/>
      <c r="F87" s="56">
        <f>132200*130.8/131.2</f>
        <v>131796.95121951221</v>
      </c>
      <c r="G87" s="228"/>
      <c r="H87" s="62">
        <f>(22000+9600+14400+4800+5600+9000+1800+10500+5400+5400+1500+1000+2500+600+2000+2000+2400+5000+1000+400+250+500+2400+500+800)*130.8/131.2</f>
        <v>111010.51829268294</v>
      </c>
      <c r="I87" s="212"/>
      <c r="J87" s="175">
        <f t="shared" si="13"/>
        <v>-20786.432926829264</v>
      </c>
      <c r="K87" s="205"/>
      <c r="L87" s="62"/>
      <c r="M87" s="62"/>
      <c r="N87" s="62"/>
      <c r="O87" s="63"/>
      <c r="P87" s="63"/>
      <c r="Q87" s="62"/>
      <c r="R87" s="9"/>
      <c r="S87" s="9"/>
      <c r="T87" s="9"/>
      <c r="U87" s="9"/>
      <c r="V87" s="9"/>
      <c r="W87" s="9"/>
      <c r="X87" s="9"/>
      <c r="Y87" s="9"/>
    </row>
    <row r="88" spans="1:25" ht="27.6" x14ac:dyDescent="0.3">
      <c r="A88" s="28" t="s">
        <v>47</v>
      </c>
      <c r="B88" s="18" t="s">
        <v>92</v>
      </c>
      <c r="C88" s="170" t="s">
        <v>24</v>
      </c>
      <c r="D88" s="225"/>
      <c r="E88" s="231"/>
      <c r="F88" s="56">
        <f>42035*130.8/131.2</f>
        <v>41906.84451219513</v>
      </c>
      <c r="G88" s="228"/>
      <c r="H88" s="86">
        <f>(4200+22600+2080+2205+4350+3775+200+225+2400)*130.8/131.2</f>
        <v>41906.84451219513</v>
      </c>
      <c r="I88" s="212"/>
      <c r="J88" s="178">
        <f t="shared" si="13"/>
        <v>0</v>
      </c>
      <c r="K88" s="205"/>
      <c r="L88" s="62"/>
      <c r="M88" s="62"/>
      <c r="N88" s="62"/>
      <c r="O88" s="63"/>
      <c r="P88" s="63"/>
      <c r="Q88" s="62"/>
      <c r="R88" s="9"/>
      <c r="S88" s="9"/>
      <c r="T88" s="9"/>
      <c r="U88" s="9"/>
      <c r="V88" s="9"/>
      <c r="W88" s="9"/>
      <c r="X88" s="9"/>
      <c r="Y88" s="9"/>
    </row>
    <row r="89" spans="1:25" ht="15.6" x14ac:dyDescent="0.3">
      <c r="A89" s="28" t="s">
        <v>47</v>
      </c>
      <c r="B89" s="18" t="s">
        <v>93</v>
      </c>
      <c r="C89" s="59" t="s">
        <v>24</v>
      </c>
      <c r="D89" s="225"/>
      <c r="E89" s="231"/>
      <c r="F89" s="56">
        <f>12190*130.8/131.2</f>
        <v>12152.835365853662</v>
      </c>
      <c r="G89" s="228"/>
      <c r="H89" s="62">
        <f>(6030+4410+1750)*130.8/131.2</f>
        <v>12152.835365853662</v>
      </c>
      <c r="I89" s="212"/>
      <c r="J89" s="175">
        <f t="shared" si="13"/>
        <v>0</v>
      </c>
      <c r="K89" s="205"/>
      <c r="L89" s="62"/>
      <c r="M89" s="62"/>
      <c r="N89" s="62"/>
      <c r="O89" s="63"/>
      <c r="P89" s="63"/>
      <c r="Q89" s="62"/>
      <c r="R89" s="9"/>
      <c r="S89" s="9"/>
      <c r="T89" s="9"/>
      <c r="U89" s="9"/>
      <c r="V89" s="9"/>
      <c r="W89" s="9"/>
      <c r="X89" s="9"/>
      <c r="Y89" s="9"/>
    </row>
    <row r="90" spans="1:25" ht="16.2" thickBot="1" x14ac:dyDescent="0.35">
      <c r="A90" s="29" t="s">
        <v>47</v>
      </c>
      <c r="B90" s="14" t="s">
        <v>94</v>
      </c>
      <c r="C90" s="95" t="s">
        <v>24</v>
      </c>
      <c r="D90" s="226"/>
      <c r="E90" s="232"/>
      <c r="F90" s="55">
        <f>10300*130.8/131.2</f>
        <v>10268.597560975613</v>
      </c>
      <c r="G90" s="229"/>
      <c r="H90" s="85">
        <f>10300*130.8/131.2</f>
        <v>10268.597560975613</v>
      </c>
      <c r="I90" s="213"/>
      <c r="J90" s="176">
        <f t="shared" si="13"/>
        <v>0</v>
      </c>
      <c r="K90" s="206"/>
      <c r="L90" s="85"/>
      <c r="M90" s="85"/>
      <c r="N90" s="85"/>
      <c r="O90" s="63"/>
      <c r="P90" s="63"/>
      <c r="Q90" s="85"/>
      <c r="R90" s="9"/>
      <c r="S90" s="9"/>
      <c r="T90" s="9"/>
      <c r="U90" s="9"/>
      <c r="V90" s="9"/>
      <c r="W90" s="9"/>
      <c r="X90" s="9"/>
      <c r="Y90" s="9"/>
    </row>
    <row r="91" spans="1:25" ht="15.6" x14ac:dyDescent="0.3">
      <c r="A91" s="30" t="s">
        <v>48</v>
      </c>
      <c r="B91" s="12" t="s">
        <v>183</v>
      </c>
      <c r="C91" s="59" t="s">
        <v>24</v>
      </c>
      <c r="D91" s="224"/>
      <c r="E91" s="230">
        <v>431000</v>
      </c>
      <c r="F91" s="54">
        <f>0*130.8/131.2</f>
        <v>0</v>
      </c>
      <c r="G91" s="222">
        <f>SUM(F91:F96)</f>
        <v>445091.86280487815</v>
      </c>
      <c r="H91" s="168">
        <f>20000*130.8/131.2</f>
        <v>19939.024390243903</v>
      </c>
      <c r="I91" s="214">
        <f>SUM(H91:H96)</f>
        <v>493676.28658536595</v>
      </c>
      <c r="J91" s="171">
        <f t="shared" si="13"/>
        <v>19939.024390243903</v>
      </c>
      <c r="K91" s="201">
        <f>I91-G91</f>
        <v>48584.423780487792</v>
      </c>
      <c r="L91" s="79"/>
      <c r="M91" s="79"/>
      <c r="N91" s="79"/>
      <c r="O91" s="63"/>
      <c r="P91" s="63"/>
      <c r="Q91" s="79"/>
    </row>
    <row r="92" spans="1:25" ht="15.6" x14ac:dyDescent="0.3">
      <c r="A92" s="33" t="s">
        <v>48</v>
      </c>
      <c r="B92" s="18" t="s">
        <v>89</v>
      </c>
      <c r="C92" s="59" t="s">
        <v>24</v>
      </c>
      <c r="D92" s="225"/>
      <c r="E92" s="231"/>
      <c r="F92" s="56">
        <f>3520*130.8/131.2</f>
        <v>3509.2682926829275</v>
      </c>
      <c r="G92" s="223"/>
      <c r="H92" s="165">
        <f>14000*130.8/131.2</f>
        <v>13957.317073170734</v>
      </c>
      <c r="I92" s="215"/>
      <c r="J92" s="172">
        <f t="shared" si="13"/>
        <v>10448.048780487807</v>
      </c>
      <c r="K92" s="202"/>
      <c r="L92" s="59"/>
      <c r="M92" s="59"/>
      <c r="N92" s="59"/>
      <c r="O92" s="63"/>
      <c r="P92" s="63"/>
      <c r="Q92" s="59"/>
    </row>
    <row r="93" spans="1:25" ht="15.6" x14ac:dyDescent="0.3">
      <c r="A93" s="33" t="s">
        <v>48</v>
      </c>
      <c r="B93" s="18" t="s">
        <v>95</v>
      </c>
      <c r="C93" s="59" t="s">
        <v>24</v>
      </c>
      <c r="D93" s="225"/>
      <c r="E93" s="231"/>
      <c r="F93" s="56">
        <f>279642*130.8/131.2</f>
        <v>278789.43292682932</v>
      </c>
      <c r="G93" s="223"/>
      <c r="H93" s="165">
        <f>(1200+600+68400+1000+3500+27960+25300+35400+3540+11507+13528+5655+4875+5265+7052+1380+50880)*130.8/131.2</f>
        <v>266227.84756097564</v>
      </c>
      <c r="I93" s="215"/>
      <c r="J93" s="175">
        <f t="shared" si="13"/>
        <v>-12561.58536585368</v>
      </c>
      <c r="K93" s="202"/>
      <c r="L93" s="62"/>
      <c r="M93" s="62"/>
      <c r="N93" s="62"/>
      <c r="O93" s="63"/>
      <c r="P93" s="63"/>
      <c r="Q93" s="62"/>
      <c r="R93" s="9"/>
      <c r="S93" s="9"/>
      <c r="T93" s="9"/>
      <c r="U93" s="9"/>
      <c r="V93" s="9"/>
      <c r="W93" s="9"/>
      <c r="X93" s="9"/>
      <c r="Y93" s="9"/>
    </row>
    <row r="94" spans="1:25" ht="15.6" x14ac:dyDescent="0.3">
      <c r="A94" s="33" t="s">
        <v>48</v>
      </c>
      <c r="B94" s="18" t="s">
        <v>96</v>
      </c>
      <c r="C94" s="59" t="s">
        <v>24</v>
      </c>
      <c r="D94" s="225"/>
      <c r="E94" s="231"/>
      <c r="F94" s="56">
        <f>79975*130.8/131.2</f>
        <v>79731.173780487807</v>
      </c>
      <c r="G94" s="223"/>
      <c r="H94" s="165">
        <f>(1800+6000+1120+6400+105+5180+2640+2200+1005+1600+1820+8600+630+9620+1760+4400+2010+1600+6400+900+735+3400+140+800+1200+2627+660+825+2948+2560+5500+1800+210+1000+70+925+660+825+1500+792+990+871+1200+800+20000)*130.8/131.2</f>
        <v>118465.71951219515</v>
      </c>
      <c r="I94" s="215"/>
      <c r="J94" s="173">
        <f>H94-F94</f>
        <v>38734.545731707345</v>
      </c>
      <c r="K94" s="202"/>
      <c r="L94" s="62"/>
      <c r="M94" s="62"/>
      <c r="N94" s="62"/>
      <c r="O94" s="63"/>
      <c r="P94" s="63"/>
      <c r="Q94" s="62"/>
      <c r="R94" s="9"/>
      <c r="S94" s="9"/>
      <c r="T94" s="9"/>
      <c r="U94" s="9"/>
      <c r="V94" s="9"/>
      <c r="W94" s="9"/>
      <c r="X94" s="9"/>
      <c r="Y94" s="9"/>
    </row>
    <row r="95" spans="1:25" ht="15.6" x14ac:dyDescent="0.3">
      <c r="A95" s="33" t="s">
        <v>48</v>
      </c>
      <c r="B95" s="18" t="s">
        <v>97</v>
      </c>
      <c r="C95" s="59" t="s">
        <v>24</v>
      </c>
      <c r="D95" s="225"/>
      <c r="E95" s="231"/>
      <c r="F95" s="56">
        <f>63316*130.8/131.2</f>
        <v>63122.963414634156</v>
      </c>
      <c r="G95" s="223"/>
      <c r="H95" s="165">
        <f>(400+6720+1000+3000+1000+4500+2640+1000+300+400+12768+1000+3000+1000+5000+4500+6720+1000+300+500+1000+400+3168+1000+500+500)*130.8/131.2</f>
        <v>63122.963414634156</v>
      </c>
      <c r="I95" s="215"/>
      <c r="J95" s="175">
        <f t="shared" si="13"/>
        <v>0</v>
      </c>
      <c r="K95" s="202"/>
      <c r="L95" s="62"/>
      <c r="M95" s="62"/>
      <c r="N95" s="62"/>
      <c r="O95" s="63"/>
      <c r="P95" s="63"/>
      <c r="Q95" s="62"/>
      <c r="R95" s="9"/>
      <c r="S95" s="9"/>
      <c r="T95" s="9"/>
      <c r="U95" s="9"/>
      <c r="V95" s="9"/>
      <c r="W95" s="9"/>
      <c r="X95" s="9"/>
      <c r="Y95" s="9"/>
    </row>
    <row r="96" spans="1:25" ht="16.2" thickBot="1" x14ac:dyDescent="0.35">
      <c r="A96" s="31" t="s">
        <v>48</v>
      </c>
      <c r="B96" s="14" t="s">
        <v>98</v>
      </c>
      <c r="C96" s="95" t="s">
        <v>24</v>
      </c>
      <c r="D96" s="226"/>
      <c r="E96" s="232"/>
      <c r="F96" s="89">
        <f>20000*130.8/131.2</f>
        <v>19939.024390243903</v>
      </c>
      <c r="G96" s="233"/>
      <c r="H96" s="166">
        <f>12000*130.8/131.2</f>
        <v>11963.414634146344</v>
      </c>
      <c r="I96" s="216"/>
      <c r="J96" s="176">
        <f t="shared" si="13"/>
        <v>-7975.6097560975595</v>
      </c>
      <c r="K96" s="203"/>
      <c r="L96" s="85"/>
      <c r="M96" s="85"/>
      <c r="N96" s="85"/>
      <c r="O96" s="63"/>
      <c r="P96" s="63"/>
      <c r="Q96" s="85"/>
      <c r="R96" s="9"/>
      <c r="S96" s="9"/>
      <c r="T96" s="9"/>
      <c r="U96" s="9"/>
      <c r="V96" s="9"/>
      <c r="W96" s="9"/>
      <c r="X96" s="9"/>
      <c r="Y96" s="9"/>
    </row>
    <row r="97" spans="1:25" ht="15.6" x14ac:dyDescent="0.3">
      <c r="A97" s="27" t="s">
        <v>49</v>
      </c>
      <c r="B97" s="90" t="s">
        <v>99</v>
      </c>
      <c r="C97" s="59" t="s">
        <v>24</v>
      </c>
      <c r="D97" s="224"/>
      <c r="E97" s="230">
        <v>265000</v>
      </c>
      <c r="F97" s="91">
        <f>14400*130.8/131.2</f>
        <v>14356.097560975613</v>
      </c>
      <c r="G97" s="222">
        <f>SUM(F97:F103)</f>
        <v>285277.59146341472</v>
      </c>
      <c r="H97" s="91">
        <f>14400*130.8/131.2</f>
        <v>14356.097560975613</v>
      </c>
      <c r="I97" s="214">
        <f>SUM(H97:H103)</f>
        <v>422896.73780487815</v>
      </c>
      <c r="J97" s="177">
        <f t="shared" si="13"/>
        <v>0</v>
      </c>
      <c r="K97" s="201">
        <f>I97-G97</f>
        <v>137619.14634146343</v>
      </c>
      <c r="L97" s="79"/>
      <c r="M97" s="79"/>
      <c r="N97" s="79"/>
      <c r="O97" s="63"/>
      <c r="P97" s="63"/>
      <c r="Q97" s="79"/>
    </row>
    <row r="98" spans="1:25" ht="15.6" x14ac:dyDescent="0.3">
      <c r="A98" s="28" t="s">
        <v>49</v>
      </c>
      <c r="B98" s="92" t="s">
        <v>58</v>
      </c>
      <c r="C98" s="59" t="s">
        <v>24</v>
      </c>
      <c r="D98" s="225"/>
      <c r="E98" s="231"/>
      <c r="F98" s="93">
        <f>8400*130.8/131.2</f>
        <v>8374.3902439024405</v>
      </c>
      <c r="G98" s="223"/>
      <c r="H98" s="93">
        <f>8400*130.8/131.2</f>
        <v>8374.3902439024405</v>
      </c>
      <c r="I98" s="215"/>
      <c r="J98" s="175">
        <f t="shared" si="13"/>
        <v>0</v>
      </c>
      <c r="K98" s="202"/>
      <c r="L98" s="62"/>
      <c r="M98" s="62"/>
      <c r="N98" s="62"/>
      <c r="O98" s="63"/>
      <c r="P98" s="63"/>
      <c r="Q98" s="62"/>
      <c r="R98" s="9"/>
      <c r="S98" s="9"/>
      <c r="T98" s="9"/>
      <c r="U98" s="9"/>
      <c r="V98" s="9"/>
      <c r="W98" s="9"/>
      <c r="X98" s="9"/>
      <c r="Y98" s="9"/>
    </row>
    <row r="99" spans="1:25" ht="15.6" x14ac:dyDescent="0.3">
      <c r="A99" s="28" t="s">
        <v>49</v>
      </c>
      <c r="B99" s="92" t="s">
        <v>100</v>
      </c>
      <c r="C99" s="59" t="s">
        <v>24</v>
      </c>
      <c r="D99" s="225"/>
      <c r="E99" s="231"/>
      <c r="F99" s="93">
        <f>37500*130.8/131.2</f>
        <v>37385.670731707323</v>
      </c>
      <c r="G99" s="223"/>
      <c r="H99" s="93">
        <f>37500*130.8/131.2</f>
        <v>37385.670731707323</v>
      </c>
      <c r="I99" s="215"/>
      <c r="J99" s="175">
        <f t="shared" si="13"/>
        <v>0</v>
      </c>
      <c r="K99" s="202"/>
      <c r="L99" s="62"/>
      <c r="M99" s="62"/>
      <c r="N99" s="62"/>
      <c r="O99" s="63"/>
      <c r="P99" s="63"/>
      <c r="Q99" s="62"/>
      <c r="R99" s="9"/>
      <c r="S99" s="9"/>
      <c r="T99" s="9"/>
      <c r="U99" s="9"/>
      <c r="V99" s="9"/>
      <c r="W99" s="9"/>
      <c r="X99" s="9"/>
      <c r="Y99" s="9"/>
    </row>
    <row r="100" spans="1:25" ht="15.6" x14ac:dyDescent="0.3">
      <c r="A100" s="28" t="s">
        <v>49</v>
      </c>
      <c r="B100" s="92" t="s">
        <v>101</v>
      </c>
      <c r="C100" s="59" t="s">
        <v>24</v>
      </c>
      <c r="D100" s="225"/>
      <c r="E100" s="231"/>
      <c r="F100" s="93">
        <f>105800*130.8/131.2</f>
        <v>105477.43902439027</v>
      </c>
      <c r="G100" s="223"/>
      <c r="H100" s="93">
        <f>216050*130.8/131.2</f>
        <v>215391.31097560981</v>
      </c>
      <c r="I100" s="215"/>
      <c r="J100" s="173">
        <f t="shared" si="13"/>
        <v>109913.87195121954</v>
      </c>
      <c r="K100" s="202"/>
      <c r="L100" s="62"/>
      <c r="M100" s="62"/>
      <c r="N100" s="62"/>
      <c r="O100" s="63"/>
      <c r="P100" s="63"/>
      <c r="Q100" s="62"/>
      <c r="R100" s="9"/>
      <c r="S100" s="9"/>
      <c r="T100" s="9"/>
      <c r="U100" s="9"/>
      <c r="V100" s="9"/>
      <c r="W100" s="9"/>
      <c r="X100" s="9"/>
      <c r="Y100" s="9"/>
    </row>
    <row r="101" spans="1:25" ht="15.6" x14ac:dyDescent="0.3">
      <c r="A101" s="28" t="s">
        <v>49</v>
      </c>
      <c r="B101" s="92" t="s">
        <v>102</v>
      </c>
      <c r="C101" s="59" t="s">
        <v>24</v>
      </c>
      <c r="D101" s="225"/>
      <c r="E101" s="231"/>
      <c r="F101" s="93">
        <f>57210*130.8/131.2</f>
        <v>57035.579268292699</v>
      </c>
      <c r="G101" s="223"/>
      <c r="H101" s="93">
        <f>58380*130.8/131.2</f>
        <v>58202.012195121963</v>
      </c>
      <c r="I101" s="215"/>
      <c r="J101" s="173">
        <f t="shared" si="13"/>
        <v>1166.432926829264</v>
      </c>
      <c r="K101" s="202"/>
      <c r="L101" s="62"/>
      <c r="M101" s="62"/>
      <c r="N101" s="62"/>
      <c r="O101" s="63"/>
      <c r="P101" s="63"/>
      <c r="Q101" s="62"/>
      <c r="R101" s="9"/>
      <c r="S101" s="9"/>
      <c r="T101" s="9"/>
      <c r="U101" s="9"/>
      <c r="V101" s="9"/>
      <c r="W101" s="9"/>
      <c r="X101" s="9"/>
      <c r="Y101" s="9"/>
    </row>
    <row r="102" spans="1:25" ht="15.6" x14ac:dyDescent="0.3">
      <c r="A102" s="28" t="s">
        <v>49</v>
      </c>
      <c r="B102" s="92" t="s">
        <v>103</v>
      </c>
      <c r="C102" s="59" t="s">
        <v>24</v>
      </c>
      <c r="D102" s="225"/>
      <c r="E102" s="231"/>
      <c r="F102" s="93">
        <f>1630*130.8/131.2</f>
        <v>1625.0304878048785</v>
      </c>
      <c r="G102" s="223"/>
      <c r="H102" s="93">
        <f>11640*130.8/131.2</f>
        <v>11604.512195121953</v>
      </c>
      <c r="I102" s="215"/>
      <c r="J102" s="173">
        <f t="shared" si="13"/>
        <v>9979.4817073170743</v>
      </c>
      <c r="K102" s="202"/>
      <c r="L102" s="62"/>
      <c r="M102" s="62"/>
      <c r="N102" s="62"/>
      <c r="O102" s="63"/>
      <c r="P102" s="63"/>
      <c r="Q102" s="62"/>
      <c r="R102" s="9"/>
      <c r="S102" s="9"/>
      <c r="T102" s="9"/>
      <c r="U102" s="9"/>
      <c r="V102" s="9"/>
      <c r="W102" s="9"/>
      <c r="X102" s="9"/>
      <c r="Y102" s="9"/>
    </row>
    <row r="103" spans="1:25" ht="16.2" thickBot="1" x14ac:dyDescent="0.35">
      <c r="A103" s="29" t="s">
        <v>49</v>
      </c>
      <c r="B103" s="94" t="s">
        <v>104</v>
      </c>
      <c r="C103" s="95" t="s">
        <v>24</v>
      </c>
      <c r="D103" s="226"/>
      <c r="E103" s="232"/>
      <c r="F103" s="89">
        <f>61210*130.8/131.2</f>
        <v>61023.384146341479</v>
      </c>
      <c r="G103" s="233"/>
      <c r="H103" s="89">
        <f>77820*130.8/131.2</f>
        <v>77582.743902439033</v>
      </c>
      <c r="I103" s="216"/>
      <c r="J103" s="184">
        <f t="shared" ref="J103:J115" si="14">H103-F103</f>
        <v>16559.359756097554</v>
      </c>
      <c r="K103" s="203"/>
      <c r="L103" s="85"/>
      <c r="M103" s="85"/>
      <c r="N103" s="85"/>
      <c r="O103" s="63"/>
      <c r="P103" s="63"/>
      <c r="Q103" s="85"/>
      <c r="R103" s="9"/>
      <c r="S103" s="9"/>
      <c r="T103" s="9"/>
      <c r="U103" s="9"/>
      <c r="V103" s="9"/>
      <c r="W103" s="9"/>
      <c r="X103" s="9"/>
      <c r="Y103" s="9"/>
    </row>
    <row r="104" spans="1:25" ht="15.6" x14ac:dyDescent="0.3">
      <c r="A104" s="30" t="s">
        <v>50</v>
      </c>
      <c r="B104" s="12" t="s">
        <v>99</v>
      </c>
      <c r="C104" s="59" t="s">
        <v>24</v>
      </c>
      <c r="D104" s="224"/>
      <c r="E104" s="230">
        <v>155000</v>
      </c>
      <c r="F104" s="102">
        <f>1500*130.8/131.2</f>
        <v>1495.426829268293</v>
      </c>
      <c r="G104" s="227">
        <f>SUM(F104:F114)</f>
        <v>140909.08536585368</v>
      </c>
      <c r="H104" s="102">
        <f>1500*130.8/131.2</f>
        <v>1495.426829268293</v>
      </c>
      <c r="I104" s="211">
        <f>SUM(H104:H114)</f>
        <v>154268.23170731714</v>
      </c>
      <c r="J104" s="177">
        <f t="shared" si="14"/>
        <v>0</v>
      </c>
      <c r="K104" s="201">
        <f>I104-G104</f>
        <v>13359.146341463464</v>
      </c>
      <c r="L104" s="79"/>
      <c r="M104" s="79"/>
      <c r="N104" s="79"/>
      <c r="O104" s="63"/>
      <c r="P104" s="63"/>
      <c r="Q104" s="79"/>
    </row>
    <row r="105" spans="1:25" ht="15.6" x14ac:dyDescent="0.3">
      <c r="A105" s="33" t="s">
        <v>50</v>
      </c>
      <c r="B105" s="18" t="s">
        <v>105</v>
      </c>
      <c r="C105" s="59" t="s">
        <v>24</v>
      </c>
      <c r="D105" s="225"/>
      <c r="E105" s="231"/>
      <c r="F105" s="103">
        <f>0*130.8/131.2</f>
        <v>0</v>
      </c>
      <c r="G105" s="228"/>
      <c r="H105" s="103">
        <f>0*130.8/131.2</f>
        <v>0</v>
      </c>
      <c r="I105" s="212"/>
      <c r="J105" s="175">
        <f t="shared" si="14"/>
        <v>0</v>
      </c>
      <c r="K105" s="202"/>
      <c r="L105" s="62"/>
      <c r="M105" s="62"/>
      <c r="N105" s="62"/>
      <c r="O105" s="63"/>
      <c r="P105" s="63"/>
      <c r="Q105" s="62"/>
      <c r="R105" s="9"/>
      <c r="S105" s="9"/>
      <c r="T105" s="9"/>
      <c r="U105" s="9"/>
      <c r="V105" s="9"/>
      <c r="W105" s="9"/>
      <c r="X105" s="9"/>
      <c r="Y105" s="9"/>
    </row>
    <row r="106" spans="1:25" ht="15.6" x14ac:dyDescent="0.3">
      <c r="A106" s="33" t="s">
        <v>50</v>
      </c>
      <c r="B106" s="18" t="s">
        <v>101</v>
      </c>
      <c r="C106" s="59" t="s">
        <v>24</v>
      </c>
      <c r="D106" s="225"/>
      <c r="E106" s="231"/>
      <c r="F106" s="104">
        <f>16500*130.8/131.2</f>
        <v>16449.695121951219</v>
      </c>
      <c r="G106" s="228"/>
      <c r="H106" s="104">
        <f>16000*130.8/131.2</f>
        <v>15951.219512195124</v>
      </c>
      <c r="I106" s="212"/>
      <c r="J106" s="175">
        <f t="shared" si="14"/>
        <v>-498.47560975609485</v>
      </c>
      <c r="K106" s="202"/>
      <c r="L106" s="62"/>
      <c r="M106" s="62"/>
      <c r="N106" s="62"/>
      <c r="O106" s="63"/>
      <c r="P106" s="63"/>
      <c r="Q106" s="62"/>
      <c r="R106" s="9"/>
      <c r="S106" s="9"/>
      <c r="T106" s="9"/>
      <c r="U106" s="9"/>
      <c r="V106" s="9"/>
      <c r="W106" s="9"/>
      <c r="X106" s="9"/>
      <c r="Y106" s="9"/>
    </row>
    <row r="107" spans="1:25" ht="15.6" x14ac:dyDescent="0.3">
      <c r="A107" s="33" t="s">
        <v>50</v>
      </c>
      <c r="B107" s="18" t="s">
        <v>106</v>
      </c>
      <c r="C107" s="59" t="s">
        <v>24</v>
      </c>
      <c r="D107" s="225"/>
      <c r="E107" s="231"/>
      <c r="F107" s="104">
        <f>32240*130.8/131.2</f>
        <v>32141.707317073175</v>
      </c>
      <c r="G107" s="228"/>
      <c r="H107" s="104">
        <f>26080*130.8/131.2</f>
        <v>26000.487804878056</v>
      </c>
      <c r="I107" s="212"/>
      <c r="J107" s="175">
        <f t="shared" si="14"/>
        <v>-6141.219512195119</v>
      </c>
      <c r="K107" s="202"/>
      <c r="L107" s="62"/>
      <c r="M107" s="62"/>
      <c r="N107" s="62"/>
      <c r="O107" s="63"/>
      <c r="P107" s="63"/>
      <c r="Q107" s="62"/>
      <c r="R107" s="9"/>
      <c r="S107" s="9"/>
      <c r="T107" s="9"/>
      <c r="U107" s="9"/>
      <c r="V107" s="9"/>
      <c r="W107" s="9"/>
      <c r="X107" s="9"/>
      <c r="Y107" s="9"/>
    </row>
    <row r="108" spans="1:25" ht="15.6" x14ac:dyDescent="0.3">
      <c r="A108" s="33" t="s">
        <v>50</v>
      </c>
      <c r="B108" s="18" t="s">
        <v>107</v>
      </c>
      <c r="C108" s="59" t="s">
        <v>24</v>
      </c>
      <c r="D108" s="225"/>
      <c r="E108" s="231"/>
      <c r="F108" s="103">
        <f>27450*130.8/131.2</f>
        <v>27366.310975609762</v>
      </c>
      <c r="G108" s="228"/>
      <c r="H108" s="103">
        <f>25600*130.8/131.2</f>
        <v>25521.951219512201</v>
      </c>
      <c r="I108" s="212"/>
      <c r="J108" s="175">
        <f t="shared" si="14"/>
        <v>-1844.3597560975613</v>
      </c>
      <c r="K108" s="202"/>
      <c r="L108" s="62"/>
      <c r="M108" s="62"/>
      <c r="N108" s="62"/>
      <c r="O108" s="63"/>
      <c r="P108" s="63"/>
      <c r="Q108" s="62"/>
      <c r="R108" s="9"/>
      <c r="S108" s="9"/>
      <c r="T108" s="9"/>
      <c r="U108" s="9"/>
      <c r="V108" s="9"/>
      <c r="W108" s="9"/>
      <c r="X108" s="9"/>
      <c r="Y108" s="9"/>
    </row>
    <row r="109" spans="1:25" ht="15.6" x14ac:dyDescent="0.3">
      <c r="A109" s="33" t="s">
        <v>50</v>
      </c>
      <c r="B109" s="18" t="s">
        <v>108</v>
      </c>
      <c r="C109" s="59" t="s">
        <v>24</v>
      </c>
      <c r="D109" s="225"/>
      <c r="E109" s="231"/>
      <c r="F109" s="87">
        <f>46390*130.8/131.2</f>
        <v>46248.567073170743</v>
      </c>
      <c r="G109" s="228"/>
      <c r="H109" s="87">
        <f>62060*130.8/131.2</f>
        <v>61870.79268292684</v>
      </c>
      <c r="I109" s="212"/>
      <c r="J109" s="173">
        <f t="shared" si="14"/>
        <v>15622.225609756097</v>
      </c>
      <c r="K109" s="202"/>
      <c r="L109" s="62"/>
      <c r="M109" s="62"/>
      <c r="N109" s="62"/>
      <c r="O109" s="63"/>
      <c r="P109" s="63"/>
      <c r="Q109" s="62"/>
      <c r="R109" s="9"/>
      <c r="S109" s="9"/>
      <c r="T109" s="9"/>
      <c r="U109" s="9"/>
      <c r="V109" s="9"/>
      <c r="W109" s="9"/>
      <c r="X109" s="9"/>
      <c r="Y109" s="9"/>
    </row>
    <row r="110" spans="1:25" ht="15.6" x14ac:dyDescent="0.3">
      <c r="A110" s="33" t="s">
        <v>50</v>
      </c>
      <c r="B110" s="18" t="s">
        <v>109</v>
      </c>
      <c r="C110" s="59" t="s">
        <v>24</v>
      </c>
      <c r="D110" s="225"/>
      <c r="E110" s="231"/>
      <c r="F110" s="87">
        <f>6360*130.8/131.2</f>
        <v>6340.6097560975622</v>
      </c>
      <c r="G110" s="228"/>
      <c r="H110" s="87">
        <f>5700*130.8/131.2</f>
        <v>5682.6219512195139</v>
      </c>
      <c r="I110" s="212"/>
      <c r="J110" s="175">
        <f t="shared" si="14"/>
        <v>-657.98780487804834</v>
      </c>
      <c r="K110" s="202"/>
      <c r="L110" s="62"/>
      <c r="M110" s="62"/>
      <c r="N110" s="62"/>
      <c r="O110" s="63"/>
      <c r="P110" s="63"/>
      <c r="Q110" s="62"/>
      <c r="R110" s="9"/>
      <c r="S110" s="9"/>
      <c r="T110" s="9"/>
      <c r="U110" s="9"/>
      <c r="V110" s="9"/>
      <c r="W110" s="9"/>
      <c r="X110" s="9"/>
      <c r="Y110" s="9"/>
    </row>
    <row r="111" spans="1:25" ht="15.6" x14ac:dyDescent="0.3">
      <c r="A111" s="33" t="s">
        <v>50</v>
      </c>
      <c r="B111" s="18" t="s">
        <v>110</v>
      </c>
      <c r="C111" s="59" t="s">
        <v>24</v>
      </c>
      <c r="D111" s="225"/>
      <c r="E111" s="231"/>
      <c r="F111" s="87">
        <f>2600*130.8/131.2</f>
        <v>2592.0731707317082</v>
      </c>
      <c r="G111" s="228"/>
      <c r="H111" s="87">
        <f>2600*130.8/131.2</f>
        <v>2592.0731707317082</v>
      </c>
      <c r="I111" s="212"/>
      <c r="J111" s="175">
        <f t="shared" si="14"/>
        <v>0</v>
      </c>
      <c r="K111" s="202"/>
      <c r="L111" s="59"/>
      <c r="M111" s="59"/>
      <c r="N111" s="59"/>
      <c r="O111" s="63"/>
      <c r="P111" s="63"/>
      <c r="Q111" s="59"/>
    </row>
    <row r="112" spans="1:25" ht="15.6" x14ac:dyDescent="0.3">
      <c r="A112" s="33" t="s">
        <v>50</v>
      </c>
      <c r="B112" s="18" t="s">
        <v>111</v>
      </c>
      <c r="C112" s="59" t="s">
        <v>24</v>
      </c>
      <c r="D112" s="225"/>
      <c r="E112" s="231"/>
      <c r="F112" s="87">
        <f>900*130.8/131.2</f>
        <v>897.25609756097583</v>
      </c>
      <c r="G112" s="228"/>
      <c r="H112" s="87">
        <f>900*130.8/131.2</f>
        <v>897.25609756097583</v>
      </c>
      <c r="I112" s="212"/>
      <c r="J112" s="175">
        <f t="shared" si="14"/>
        <v>0</v>
      </c>
      <c r="K112" s="202"/>
      <c r="L112" s="59"/>
      <c r="M112" s="59"/>
      <c r="N112" s="59"/>
      <c r="O112" s="63"/>
      <c r="P112" s="63"/>
      <c r="Q112" s="59"/>
    </row>
    <row r="113" spans="1:17" ht="15.6" x14ac:dyDescent="0.3">
      <c r="A113" s="33" t="s">
        <v>50</v>
      </c>
      <c r="B113" s="18" t="s">
        <v>112</v>
      </c>
      <c r="C113" s="59" t="s">
        <v>24</v>
      </c>
      <c r="D113" s="225"/>
      <c r="E113" s="231"/>
      <c r="F113" s="87">
        <f>5500*130.8/131.2</f>
        <v>5483.2317073170743</v>
      </c>
      <c r="G113" s="228"/>
      <c r="H113" s="87">
        <f>5500*130.8/131.2</f>
        <v>5483.2317073170743</v>
      </c>
      <c r="I113" s="212"/>
      <c r="J113" s="175">
        <f t="shared" si="14"/>
        <v>0</v>
      </c>
      <c r="K113" s="202"/>
      <c r="L113" s="59"/>
      <c r="M113" s="59"/>
      <c r="N113" s="59"/>
      <c r="O113" s="63"/>
      <c r="P113" s="63"/>
      <c r="Q113" s="59"/>
    </row>
    <row r="114" spans="1:17" ht="16.2" thickBot="1" x14ac:dyDescent="0.35">
      <c r="A114" s="31" t="s">
        <v>50</v>
      </c>
      <c r="B114" s="14" t="s">
        <v>113</v>
      </c>
      <c r="C114" s="95" t="s">
        <v>24</v>
      </c>
      <c r="D114" s="226"/>
      <c r="E114" s="232"/>
      <c r="F114" s="57">
        <f>1900*130.8/131.2</f>
        <v>1894.2073170731712</v>
      </c>
      <c r="G114" s="229"/>
      <c r="H114" s="167">
        <f>8800*130.8/131.2</f>
        <v>8773.1707317073178</v>
      </c>
      <c r="I114" s="213"/>
      <c r="J114" s="184">
        <f>H114-F114</f>
        <v>6878.9634146341468</v>
      </c>
      <c r="K114" s="203"/>
      <c r="L114" s="95"/>
      <c r="M114" s="95"/>
      <c r="N114" s="95"/>
      <c r="O114" s="63"/>
      <c r="P114" s="63"/>
      <c r="Q114" s="95"/>
    </row>
    <row r="115" spans="1:17" ht="16.2" thickBot="1" x14ac:dyDescent="0.35">
      <c r="A115" s="25" t="s">
        <v>51</v>
      </c>
      <c r="B115" s="13" t="s">
        <v>114</v>
      </c>
      <c r="C115" s="82" t="s">
        <v>24</v>
      </c>
      <c r="D115" s="83"/>
      <c r="E115" s="84">
        <v>20702</v>
      </c>
      <c r="F115" s="49">
        <f>22000*130.8/131.2</f>
        <v>21932.926829268297</v>
      </c>
      <c r="G115" s="88">
        <f>F115</f>
        <v>21932.926829268297</v>
      </c>
      <c r="H115" s="49">
        <f>22000*130.8/131.2</f>
        <v>21932.926829268297</v>
      </c>
      <c r="I115" s="191">
        <f>H115</f>
        <v>21932.926829268297</v>
      </c>
      <c r="J115" s="179">
        <f t="shared" si="14"/>
        <v>0</v>
      </c>
      <c r="K115" s="180"/>
      <c r="L115" s="82"/>
      <c r="M115" s="82"/>
      <c r="N115" s="82"/>
      <c r="O115" s="63"/>
      <c r="P115" s="63"/>
      <c r="Q115" s="82"/>
    </row>
    <row r="116" spans="1:17" ht="15.6" x14ac:dyDescent="0.3">
      <c r="A116" s="97"/>
      <c r="B116" s="18"/>
      <c r="C116" s="59"/>
      <c r="D116" s="50" t="s">
        <v>144</v>
      </c>
      <c r="E116" s="62">
        <v>32100</v>
      </c>
      <c r="F116" s="50" t="s">
        <v>144</v>
      </c>
      <c r="G116" s="62">
        <f>106070*130.8/131.2</f>
        <v>105746.61585365856</v>
      </c>
      <c r="H116" s="98"/>
      <c r="I116" s="98"/>
      <c r="J116" s="59"/>
      <c r="K116" s="59"/>
      <c r="L116" s="59"/>
      <c r="M116" s="59"/>
      <c r="N116" s="59"/>
      <c r="O116" s="63"/>
      <c r="P116" s="63"/>
      <c r="Q116" s="59"/>
    </row>
    <row r="117" spans="1:17" x14ac:dyDescent="0.3">
      <c r="B117" s="58"/>
      <c r="C117" s="59"/>
      <c r="D117" s="192" t="s">
        <v>179</v>
      </c>
      <c r="E117" s="62">
        <f>38000+31000</f>
        <v>69000</v>
      </c>
      <c r="F117" s="192" t="s">
        <v>145</v>
      </c>
      <c r="G117" s="62">
        <f>-143365*130.8/131.2</f>
        <v>-142927.91158536586</v>
      </c>
      <c r="H117" s="59"/>
      <c r="I117" s="59"/>
      <c r="J117" s="59"/>
      <c r="K117" s="59"/>
      <c r="L117" s="59"/>
      <c r="M117" s="59"/>
      <c r="N117" s="59"/>
      <c r="O117" s="59"/>
      <c r="P117" s="59"/>
      <c r="Q117" s="59"/>
    </row>
    <row r="118" spans="1:17" x14ac:dyDescent="0.3">
      <c r="A118" s="43"/>
      <c r="B118" s="96" t="s">
        <v>196</v>
      </c>
      <c r="C118" s="76"/>
      <c r="D118" s="77"/>
      <c r="E118" s="78">
        <f>SUM(E38:E115)</f>
        <v>4310000</v>
      </c>
      <c r="F118" s="78">
        <f>SUM(F38:F115)</f>
        <v>4534873.0058323164</v>
      </c>
      <c r="G118" s="78">
        <f>SUM(G38:G117)</f>
        <v>4497691.7101006107</v>
      </c>
      <c r="H118" s="78">
        <f>SUM(H38:H117)</f>
        <v>4636360.6682926835</v>
      </c>
      <c r="I118" s="78">
        <f>SUM(I38:I117)</f>
        <v>4636360.6682926835</v>
      </c>
      <c r="J118" s="78">
        <f t="shared" ref="J118" si="15">SUM(J38:J117)</f>
        <v>101487.6624603659</v>
      </c>
      <c r="K118" s="78">
        <f>SUM(K38:K117)</f>
        <v>101487.66246036603</v>
      </c>
      <c r="L118" s="76"/>
      <c r="M118" s="76"/>
      <c r="N118" s="76"/>
      <c r="O118" s="59"/>
      <c r="P118" s="59"/>
      <c r="Q118" s="59"/>
    </row>
    <row r="119" spans="1:17" x14ac:dyDescent="0.3">
      <c r="E119" s="38">
        <f>E118+E116+E117</f>
        <v>4411100</v>
      </c>
      <c r="F119" s="47">
        <f>F118+G116+G117</f>
        <v>4497691.7101006098</v>
      </c>
      <c r="H119" s="47">
        <f>H118-F118</f>
        <v>101487.6624603672</v>
      </c>
      <c r="I119" s="47">
        <f>I118-G118</f>
        <v>138668.95819207281</v>
      </c>
    </row>
    <row r="120" spans="1:17" x14ac:dyDescent="0.3">
      <c r="E120" s="9"/>
      <c r="G120" s="47"/>
    </row>
    <row r="121" spans="1:17" x14ac:dyDescent="0.3">
      <c r="E121" s="9"/>
      <c r="H121" s="194"/>
      <c r="I121" s="47">
        <f>I118-G118</f>
        <v>138668.95819207281</v>
      </c>
      <c r="J121" s="17" t="s">
        <v>189</v>
      </c>
      <c r="K121" s="47">
        <f>J114+J109+J103+J102+J101+J100+J94+J92+J91+J86+J84+J83+J75+J72+J70+J69+J68+J66+J65+J63+J59+J57+J56+J53+J52+J47+J46+J44+J43+J41+J40+J39+J38</f>
        <v>479098.72483536595</v>
      </c>
    </row>
    <row r="122" spans="1:17" x14ac:dyDescent="0.3">
      <c r="D122" s="17" t="s">
        <v>180</v>
      </c>
      <c r="E122" s="9"/>
      <c r="H122" s="47"/>
      <c r="J122" s="17" t="s">
        <v>190</v>
      </c>
      <c r="K122" s="47">
        <f>J110+J108+J107+J106+J96+J93+J87+J81+J80+J77+J76+J74+J73+J71+J67+J64+J61+J60+J58+J55+J51+J50+J49+J48+J45+J42</f>
        <v>-377617.92213109764</v>
      </c>
    </row>
    <row r="123" spans="1:17" x14ac:dyDescent="0.3">
      <c r="E123" s="9"/>
      <c r="J123" s="17" t="s">
        <v>191</v>
      </c>
      <c r="K123" s="47">
        <f>K121+K122</f>
        <v>101480.80270426831</v>
      </c>
    </row>
    <row r="124" spans="1:17" x14ac:dyDescent="0.3">
      <c r="E124" s="9"/>
      <c r="F124" s="47">
        <f>F118*1.2</f>
        <v>5441847.6069987798</v>
      </c>
      <c r="G124" s="47">
        <f>G118*1.2</f>
        <v>5397230.0521207331</v>
      </c>
      <c r="H124" s="47">
        <f>H118*1.2</f>
        <v>5563632.8019512203</v>
      </c>
    </row>
    <row r="125" spans="1:17" x14ac:dyDescent="0.3">
      <c r="E125" s="9"/>
      <c r="H125" s="47">
        <f>H119*1.2</f>
        <v>121785.19495244062</v>
      </c>
    </row>
    <row r="126" spans="1:17" x14ac:dyDescent="0.3">
      <c r="E126" s="9"/>
    </row>
    <row r="127" spans="1:17" x14ac:dyDescent="0.3">
      <c r="E127" s="9"/>
      <c r="F127" s="47">
        <f>F124-5254800</f>
        <v>187047.60699877981</v>
      </c>
      <c r="G127" s="47">
        <f>G124-5254800</f>
        <v>142430.05212073307</v>
      </c>
      <c r="H127" s="47">
        <f>H124-G124</f>
        <v>166402.74983048718</v>
      </c>
    </row>
    <row r="128" spans="1:17" x14ac:dyDescent="0.3">
      <c r="E128" s="9"/>
      <c r="F128" s="47">
        <f>F127*100/5254800</f>
        <v>3.5595571096669674</v>
      </c>
      <c r="G128" s="47">
        <f>G127*100/5254800</f>
        <v>2.7104752249511508</v>
      </c>
      <c r="H128" s="47">
        <f>H127*100/5397230.05</f>
        <v>3.083113898961694</v>
      </c>
    </row>
    <row r="129" spans="5:8" x14ac:dyDescent="0.3">
      <c r="E129" s="9"/>
      <c r="H129" s="199">
        <f>(H124-5254800)*100/5254800</f>
        <v>5.8771561610569432</v>
      </c>
    </row>
    <row r="130" spans="5:8" x14ac:dyDescent="0.3">
      <c r="E130" s="9"/>
      <c r="H130" s="199">
        <f>(H124-5172000)*100/5172000</f>
        <v>7.5721732782525182</v>
      </c>
    </row>
    <row r="131" spans="5:8" x14ac:dyDescent="0.3">
      <c r="E131" s="9"/>
    </row>
    <row r="132" spans="5:8" x14ac:dyDescent="0.3">
      <c r="E132" s="9"/>
    </row>
    <row r="133" spans="5:8" x14ac:dyDescent="0.3">
      <c r="E133" s="9"/>
    </row>
    <row r="134" spans="5:8" x14ac:dyDescent="0.3">
      <c r="E134" s="9"/>
    </row>
    <row r="135" spans="5:8" x14ac:dyDescent="0.3">
      <c r="E135" s="9"/>
    </row>
    <row r="136" spans="5:8" x14ac:dyDescent="0.3">
      <c r="E136" s="9"/>
    </row>
    <row r="137" spans="5:8" x14ac:dyDescent="0.3">
      <c r="E137" s="9"/>
    </row>
    <row r="138" spans="5:8" x14ac:dyDescent="0.3">
      <c r="E138" s="9"/>
    </row>
    <row r="139" spans="5:8" x14ac:dyDescent="0.3">
      <c r="E139" s="9"/>
    </row>
    <row r="140" spans="5:8" x14ac:dyDescent="0.3">
      <c r="E140" s="9"/>
    </row>
    <row r="141" spans="5:8" x14ac:dyDescent="0.3">
      <c r="E141" s="9"/>
    </row>
    <row r="142" spans="5:8" x14ac:dyDescent="0.3">
      <c r="E142" s="9"/>
    </row>
    <row r="143" spans="5:8" x14ac:dyDescent="0.3">
      <c r="E143" s="9"/>
    </row>
    <row r="144" spans="5:8" x14ac:dyDescent="0.3">
      <c r="E144" s="9"/>
    </row>
    <row r="145" spans="5:5" x14ac:dyDescent="0.3">
      <c r="E145" s="9"/>
    </row>
    <row r="146" spans="5:5" x14ac:dyDescent="0.3">
      <c r="E146" s="9"/>
    </row>
    <row r="147" spans="5:5" x14ac:dyDescent="0.3">
      <c r="E147" s="9"/>
    </row>
    <row r="148" spans="5:5" x14ac:dyDescent="0.3">
      <c r="E148" s="9"/>
    </row>
    <row r="149" spans="5:5" x14ac:dyDescent="0.3">
      <c r="E149" s="9"/>
    </row>
    <row r="150" spans="5:5" x14ac:dyDescent="0.3">
      <c r="E150" s="9"/>
    </row>
    <row r="151" spans="5:5" x14ac:dyDescent="0.3">
      <c r="E151" s="9"/>
    </row>
    <row r="152" spans="5:5" x14ac:dyDescent="0.3">
      <c r="E152" s="9"/>
    </row>
    <row r="153" spans="5:5" x14ac:dyDescent="0.3">
      <c r="E153" s="9"/>
    </row>
    <row r="154" spans="5:5" x14ac:dyDescent="0.3">
      <c r="E154" s="9"/>
    </row>
    <row r="155" spans="5:5" x14ac:dyDescent="0.3">
      <c r="E155" s="9"/>
    </row>
    <row r="156" spans="5:5" x14ac:dyDescent="0.3">
      <c r="E156" s="9"/>
    </row>
    <row r="157" spans="5:5" x14ac:dyDescent="0.3">
      <c r="E157" s="9"/>
    </row>
    <row r="158" spans="5:5" x14ac:dyDescent="0.3">
      <c r="E158" s="9"/>
    </row>
    <row r="159" spans="5:5" x14ac:dyDescent="0.3">
      <c r="E159" s="9"/>
    </row>
    <row r="160" spans="5:5" x14ac:dyDescent="0.3">
      <c r="E160" s="9"/>
    </row>
    <row r="161" spans="5:5" x14ac:dyDescent="0.3">
      <c r="E161" s="9"/>
    </row>
    <row r="162" spans="5:5" x14ac:dyDescent="0.3">
      <c r="E162" s="9"/>
    </row>
    <row r="163" spans="5:5" x14ac:dyDescent="0.3">
      <c r="E163" s="9"/>
    </row>
    <row r="164" spans="5:5" x14ac:dyDescent="0.3">
      <c r="E164" s="9"/>
    </row>
    <row r="165" spans="5:5" x14ac:dyDescent="0.3">
      <c r="E165" s="9"/>
    </row>
    <row r="166" spans="5:5" x14ac:dyDescent="0.3">
      <c r="E166" s="9"/>
    </row>
    <row r="167" spans="5:5" x14ac:dyDescent="0.3">
      <c r="E167" s="9"/>
    </row>
    <row r="168" spans="5:5" x14ac:dyDescent="0.3">
      <c r="E168" s="9"/>
    </row>
    <row r="169" spans="5:5" x14ac:dyDescent="0.3">
      <c r="E169" s="9"/>
    </row>
    <row r="170" spans="5:5" x14ac:dyDescent="0.3">
      <c r="E170" s="9"/>
    </row>
    <row r="171" spans="5:5" x14ac:dyDescent="0.3">
      <c r="E171" s="9"/>
    </row>
    <row r="172" spans="5:5" x14ac:dyDescent="0.3">
      <c r="E172" s="9"/>
    </row>
    <row r="173" spans="5:5" x14ac:dyDescent="0.3">
      <c r="E173" s="9"/>
    </row>
    <row r="174" spans="5:5" x14ac:dyDescent="0.3">
      <c r="E174" s="9"/>
    </row>
    <row r="175" spans="5:5" x14ac:dyDescent="0.3">
      <c r="E175" s="9"/>
    </row>
    <row r="176" spans="5:5" x14ac:dyDescent="0.3">
      <c r="E176" s="9"/>
    </row>
    <row r="177" spans="5:5" x14ac:dyDescent="0.3">
      <c r="E177" s="9"/>
    </row>
    <row r="178" spans="5:5" x14ac:dyDescent="0.3">
      <c r="E178" s="9"/>
    </row>
    <row r="179" spans="5:5" x14ac:dyDescent="0.3">
      <c r="E179" s="9"/>
    </row>
    <row r="180" spans="5:5" x14ac:dyDescent="0.3">
      <c r="E180" s="9"/>
    </row>
    <row r="181" spans="5:5" x14ac:dyDescent="0.3">
      <c r="E181" s="9"/>
    </row>
    <row r="182" spans="5:5" x14ac:dyDescent="0.3">
      <c r="E182" s="9"/>
    </row>
    <row r="183" spans="5:5" x14ac:dyDescent="0.3">
      <c r="E183" s="9"/>
    </row>
    <row r="184" spans="5:5" x14ac:dyDescent="0.3">
      <c r="E184" s="9"/>
    </row>
    <row r="185" spans="5:5" x14ac:dyDescent="0.3">
      <c r="E185" s="9"/>
    </row>
  </sheetData>
  <mergeCells count="79">
    <mergeCell ref="K38:K43"/>
    <mergeCell ref="F2:F3"/>
    <mergeCell ref="B6:B7"/>
    <mergeCell ref="E14:E15"/>
    <mergeCell ref="F14:F15"/>
    <mergeCell ref="G14:G15"/>
    <mergeCell ref="H14:H15"/>
    <mergeCell ref="H4:I4"/>
    <mergeCell ref="I14:I15"/>
    <mergeCell ref="D38:D43"/>
    <mergeCell ref="E38:E43"/>
    <mergeCell ref="G38:G43"/>
    <mergeCell ref="I38:I43"/>
    <mergeCell ref="D53:D55"/>
    <mergeCell ref="E53:E55"/>
    <mergeCell ref="G53:G55"/>
    <mergeCell ref="I53:I55"/>
    <mergeCell ref="K53:K55"/>
    <mergeCell ref="D45:D52"/>
    <mergeCell ref="G45:G52"/>
    <mergeCell ref="I45:I52"/>
    <mergeCell ref="K45:K52"/>
    <mergeCell ref="E48:E52"/>
    <mergeCell ref="D61:D62"/>
    <mergeCell ref="E61:E62"/>
    <mergeCell ref="G61:G62"/>
    <mergeCell ref="I61:I62"/>
    <mergeCell ref="K61:K62"/>
    <mergeCell ref="D56:D59"/>
    <mergeCell ref="E56:E59"/>
    <mergeCell ref="G56:G59"/>
    <mergeCell ref="I56:I59"/>
    <mergeCell ref="K56:K59"/>
    <mergeCell ref="I63:I66"/>
    <mergeCell ref="K63:K66"/>
    <mergeCell ref="D68:D75"/>
    <mergeCell ref="E68:E75"/>
    <mergeCell ref="G68:G75"/>
    <mergeCell ref="I68:I75"/>
    <mergeCell ref="K68:K75"/>
    <mergeCell ref="K76:K78"/>
    <mergeCell ref="D79:D80"/>
    <mergeCell ref="E79:E80"/>
    <mergeCell ref="G79:G80"/>
    <mergeCell ref="I79:I80"/>
    <mergeCell ref="K79:K80"/>
    <mergeCell ref="K81:K82"/>
    <mergeCell ref="D83:D90"/>
    <mergeCell ref="E83:E90"/>
    <mergeCell ref="G83:G90"/>
    <mergeCell ref="I83:I90"/>
    <mergeCell ref="K83:K90"/>
    <mergeCell ref="K91:K96"/>
    <mergeCell ref="D97:D103"/>
    <mergeCell ref="E97:E103"/>
    <mergeCell ref="G97:G103"/>
    <mergeCell ref="I97:I103"/>
    <mergeCell ref="K97:K103"/>
    <mergeCell ref="D4:E4"/>
    <mergeCell ref="D91:D96"/>
    <mergeCell ref="E91:E96"/>
    <mergeCell ref="G91:G96"/>
    <mergeCell ref="I91:I96"/>
    <mergeCell ref="D81:D82"/>
    <mergeCell ref="E81:E82"/>
    <mergeCell ref="G81:G82"/>
    <mergeCell ref="I81:I82"/>
    <mergeCell ref="D76:D78"/>
    <mergeCell ref="E76:E78"/>
    <mergeCell ref="G76:G78"/>
    <mergeCell ref="I76:I78"/>
    <mergeCell ref="D63:D66"/>
    <mergeCell ref="E63:E66"/>
    <mergeCell ref="G63:G66"/>
    <mergeCell ref="D104:D114"/>
    <mergeCell ref="E104:E114"/>
    <mergeCell ref="G104:G114"/>
    <mergeCell ref="I104:I114"/>
    <mergeCell ref="K104:K114"/>
  </mergeCells>
  <dataValidations count="4">
    <dataValidation type="list" allowBlank="1" showInputMessage="1" showErrorMessage="1" sqref="P13:P116">
      <formula1>"paiement APS,paiementAPD,paiementPRO,paiementDCE,paiement VISA,paiement PHASE 1,paiement PHASE 2,paiement PHASE 3,paiement PHASE 4,paiement PHASE 5,solde OK"</formula1>
    </dataValidation>
    <dataValidation type="list" allowBlank="1" showInputMessage="1" showErrorMessage="1" sqref="O13:O116">
      <formula1>"AO en cours,signé,résilié"</formula1>
    </dataValidation>
    <dataValidation type="list" allowBlank="1" showInputMessage="1" showErrorMessage="1" sqref="C13:C116">
      <formula1>" ,Services,Travaux,Fourniture,Taxes"</formula1>
    </dataValidation>
    <dataValidation type="list" allowBlank="1" showInputMessage="1" showErrorMessage="1" sqref="E6">
      <formula1>"MB,ER"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3"/>
  <sheetViews>
    <sheetView tabSelected="1" topLeftCell="A19" workbookViewId="0">
      <selection activeCell="F60" sqref="F60:F61"/>
    </sheetView>
  </sheetViews>
  <sheetFormatPr baseColWidth="10" defaultRowHeight="14.4" x14ac:dyDescent="0.3"/>
  <cols>
    <col min="2" max="2" width="5.5546875" style="17" customWidth="1"/>
    <col min="3" max="3" width="57.6640625" style="17" bestFit="1" customWidth="1"/>
    <col min="4" max="6" width="13.6640625" style="17" customWidth="1"/>
    <col min="7" max="7" width="13.6640625" customWidth="1"/>
    <col min="8" max="8" width="13.6640625" style="17" customWidth="1"/>
    <col min="9" max="12" width="13.6640625" customWidth="1"/>
    <col min="13" max="14" width="13.6640625" style="17" customWidth="1"/>
    <col min="15" max="17" width="13.6640625" customWidth="1"/>
  </cols>
  <sheetData>
    <row r="1" spans="1:17" s="17" customFormat="1" x14ac:dyDescent="0.3">
      <c r="A1" s="20"/>
      <c r="B1" s="20"/>
      <c r="G1" s="37"/>
      <c r="H1" s="37"/>
    </row>
    <row r="2" spans="1:17" s="17" customFormat="1" ht="34.950000000000003" customHeight="1" x14ac:dyDescent="0.3">
      <c r="A2" s="20"/>
      <c r="B2" s="20"/>
      <c r="E2" s="245" t="s">
        <v>1</v>
      </c>
      <c r="F2" s="245"/>
      <c r="G2" s="245"/>
      <c r="H2" s="245"/>
      <c r="I2" s="35"/>
      <c r="J2" s="35"/>
      <c r="K2" s="35"/>
      <c r="L2" s="35"/>
      <c r="M2" s="35"/>
      <c r="N2" s="35"/>
    </row>
    <row r="3" spans="1:17" s="17" customFormat="1" x14ac:dyDescent="0.3">
      <c r="A3" s="20"/>
      <c r="B3" s="20"/>
      <c r="J3" s="37"/>
    </row>
    <row r="4" spans="1:17" s="17" customFormat="1" ht="18" customHeight="1" x14ac:dyDescent="0.45">
      <c r="A4" s="20"/>
      <c r="B4" s="20"/>
      <c r="E4" s="246" t="s">
        <v>0</v>
      </c>
      <c r="F4" s="246"/>
      <c r="G4" s="246"/>
      <c r="H4" s="246"/>
      <c r="I4" s="112"/>
      <c r="J4" s="112"/>
      <c r="K4" s="112"/>
      <c r="L4" s="112"/>
      <c r="M4" s="112"/>
      <c r="N4" s="112"/>
      <c r="Q4" s="253"/>
    </row>
    <row r="5" spans="1:17" s="17" customFormat="1" ht="15" thickBot="1" x14ac:dyDescent="0.35">
      <c r="A5" s="20"/>
      <c r="B5" s="20"/>
      <c r="J5" s="37"/>
      <c r="Q5" s="253"/>
    </row>
    <row r="6" spans="1:17" s="17" customFormat="1" ht="15.6" customHeight="1" thickTop="1" thickBot="1" x14ac:dyDescent="0.35">
      <c r="A6" s="20"/>
      <c r="B6" s="20"/>
      <c r="E6" s="237" t="s">
        <v>162</v>
      </c>
      <c r="G6" s="17" t="s">
        <v>7</v>
      </c>
      <c r="H6" s="37" t="s">
        <v>9</v>
      </c>
      <c r="M6" s="110"/>
      <c r="N6" s="110"/>
    </row>
    <row r="7" spans="1:17" s="17" customFormat="1" ht="15" thickBot="1" x14ac:dyDescent="0.35">
      <c r="A7" s="220" t="s">
        <v>2</v>
      </c>
      <c r="E7" s="238"/>
      <c r="G7" s="17" t="s">
        <v>8</v>
      </c>
      <c r="H7" s="40">
        <v>45699</v>
      </c>
      <c r="M7" s="36"/>
      <c r="N7" s="36"/>
    </row>
    <row r="8" spans="1:17" s="17" customFormat="1" ht="15.6" thickTop="1" thickBot="1" x14ac:dyDescent="0.35">
      <c r="A8" s="221"/>
      <c r="E8" s="248" t="s">
        <v>197</v>
      </c>
      <c r="G8" s="37"/>
      <c r="H8" s="37"/>
    </row>
    <row r="9" spans="1:17" s="17" customFormat="1" ht="15" thickBot="1" x14ac:dyDescent="0.35">
      <c r="A9" s="130" t="s">
        <v>3</v>
      </c>
      <c r="E9" s="249"/>
      <c r="G9" s="37"/>
      <c r="H9" s="37"/>
    </row>
    <row r="10" spans="1:17" ht="15" customHeight="1" thickBot="1" x14ac:dyDescent="0.35">
      <c r="A10" s="130" t="s">
        <v>4</v>
      </c>
    </row>
    <row r="11" spans="1:17" ht="15" thickBot="1" x14ac:dyDescent="0.35">
      <c r="A11" s="164" t="s">
        <v>6</v>
      </c>
    </row>
    <row r="12" spans="1:17" ht="14.4" customHeight="1" thickBot="1" x14ac:dyDescent="0.35">
      <c r="A12" s="130" t="s">
        <v>5</v>
      </c>
      <c r="C12" s="16"/>
      <c r="D12" s="243" t="s">
        <v>174</v>
      </c>
      <c r="E12" s="243" t="s">
        <v>164</v>
      </c>
      <c r="F12" s="247" t="s">
        <v>6</v>
      </c>
      <c r="G12" s="247" t="s">
        <v>4</v>
      </c>
      <c r="H12" s="247" t="s">
        <v>3</v>
      </c>
      <c r="I12" s="247" t="s">
        <v>147</v>
      </c>
      <c r="J12" s="247" t="s">
        <v>148</v>
      </c>
      <c r="K12" s="250" t="s">
        <v>149</v>
      </c>
      <c r="L12" s="250" t="s">
        <v>170</v>
      </c>
      <c r="M12" s="250" t="s">
        <v>168</v>
      </c>
      <c r="N12" s="250" t="s">
        <v>169</v>
      </c>
      <c r="O12" s="250" t="s">
        <v>171</v>
      </c>
      <c r="P12" s="250" t="s">
        <v>172</v>
      </c>
      <c r="Q12" s="250" t="s">
        <v>173</v>
      </c>
    </row>
    <row r="13" spans="1:17" s="17" customFormat="1" ht="15" thickBot="1" x14ac:dyDescent="0.35">
      <c r="A13" s="130" t="s">
        <v>140</v>
      </c>
      <c r="C13" s="109"/>
      <c r="D13" s="244"/>
      <c r="E13" s="244"/>
      <c r="F13" s="244"/>
      <c r="G13" s="244"/>
      <c r="H13" s="244"/>
      <c r="I13" s="244"/>
      <c r="J13" s="244"/>
      <c r="K13" s="251"/>
      <c r="L13" s="251"/>
      <c r="M13" s="251"/>
      <c r="N13" s="251"/>
      <c r="O13" s="251"/>
      <c r="P13" s="251"/>
      <c r="Q13" s="251"/>
    </row>
    <row r="14" spans="1:17" ht="15" thickBot="1" x14ac:dyDescent="0.35">
      <c r="A14" s="130" t="s">
        <v>163</v>
      </c>
      <c r="C14" s="113" t="s">
        <v>150</v>
      </c>
      <c r="D14" s="117" t="s">
        <v>151</v>
      </c>
      <c r="E14" s="117" t="s">
        <v>151</v>
      </c>
      <c r="F14" s="117" t="s">
        <v>151</v>
      </c>
      <c r="G14" s="117" t="s">
        <v>151</v>
      </c>
      <c r="H14" s="117" t="s">
        <v>151</v>
      </c>
      <c r="I14" s="117" t="s">
        <v>151</v>
      </c>
      <c r="J14" s="117" t="s">
        <v>152</v>
      </c>
      <c r="K14" s="252"/>
      <c r="L14" s="252"/>
      <c r="M14" s="252"/>
      <c r="N14" s="252"/>
      <c r="O14" s="252"/>
      <c r="P14" s="252"/>
      <c r="Q14" s="252"/>
    </row>
    <row r="15" spans="1:17" ht="15" customHeight="1" x14ac:dyDescent="0.3">
      <c r="C15" s="159" t="s">
        <v>159</v>
      </c>
      <c r="D15" s="119">
        <f t="shared" ref="D15:F15" si="0">72000+72000+500</f>
        <v>144500</v>
      </c>
      <c r="E15" s="119">
        <f t="shared" si="0"/>
        <v>144500</v>
      </c>
      <c r="F15" s="119">
        <f t="shared" si="0"/>
        <v>144500</v>
      </c>
      <c r="G15" s="160">
        <f>72000+72000+500</f>
        <v>144500</v>
      </c>
      <c r="H15" s="160">
        <f>72000+72000+500</f>
        <v>144500</v>
      </c>
      <c r="I15" s="160">
        <f>72000+72000+500</f>
        <v>144500</v>
      </c>
      <c r="J15" s="133">
        <v>192000</v>
      </c>
      <c r="K15" s="134">
        <f>I15-J15</f>
        <v>-47500</v>
      </c>
      <c r="L15" s="134">
        <f>H15-I15</f>
        <v>0</v>
      </c>
      <c r="M15" s="134">
        <f>G15-H15</f>
        <v>0</v>
      </c>
      <c r="N15" s="135">
        <v>321</v>
      </c>
      <c r="O15" s="135">
        <f>E15-F15</f>
        <v>0</v>
      </c>
      <c r="P15" s="135">
        <f>D15-E15</f>
        <v>0</v>
      </c>
      <c r="Q15" s="135">
        <f>D15-I15</f>
        <v>0</v>
      </c>
    </row>
    <row r="16" spans="1:17" s="17" customFormat="1" ht="15" customHeight="1" x14ac:dyDescent="0.3">
      <c r="C16" s="159" t="s">
        <v>128</v>
      </c>
      <c r="D16" s="119">
        <v>85800</v>
      </c>
      <c r="E16" s="119">
        <v>85800</v>
      </c>
      <c r="F16" s="119">
        <v>85800</v>
      </c>
      <c r="G16" s="160">
        <v>85800</v>
      </c>
      <c r="H16" s="160">
        <v>85800</v>
      </c>
      <c r="I16" s="160">
        <v>85800</v>
      </c>
      <c r="J16" s="158">
        <v>168510</v>
      </c>
      <c r="K16" s="134">
        <f>I16-J16</f>
        <v>-82710</v>
      </c>
      <c r="L16" s="134"/>
      <c r="M16" s="134"/>
      <c r="N16" s="135">
        <v>321</v>
      </c>
      <c r="O16" s="135">
        <f t="shared" ref="O16:O30" si="1">E16-F16</f>
        <v>0</v>
      </c>
      <c r="P16" s="135">
        <f t="shared" ref="P16:P30" si="2">D16-E16</f>
        <v>0</v>
      </c>
      <c r="Q16" s="135">
        <f t="shared" ref="Q16:Q30" si="3">D16-I16</f>
        <v>0</v>
      </c>
    </row>
    <row r="17" spans="3:17" ht="15" customHeight="1" x14ac:dyDescent="0.3">
      <c r="C17" s="159" t="s">
        <v>153</v>
      </c>
      <c r="D17" s="160">
        <f t="shared" ref="D17:F17" si="4">(722000+85800+12000)*1.2</f>
        <v>983760</v>
      </c>
      <c r="E17" s="160">
        <f t="shared" si="4"/>
        <v>983760</v>
      </c>
      <c r="F17" s="160">
        <f t="shared" si="4"/>
        <v>983760</v>
      </c>
      <c r="G17" s="160">
        <f>(722000+85800+12000)*1.2</f>
        <v>983760</v>
      </c>
      <c r="H17" s="160">
        <f>(722000+85800+12000)*1.2</f>
        <v>983760</v>
      </c>
      <c r="I17" s="160">
        <f>(722000+85800+12000)*1.2</f>
        <v>983760</v>
      </c>
      <c r="J17" s="136">
        <f>768593+102479</f>
        <v>871072</v>
      </c>
      <c r="K17" s="134">
        <f t="shared" ref="K17:K25" si="5">I17-J17</f>
        <v>112688</v>
      </c>
      <c r="L17" s="134">
        <f t="shared" ref="L17:L51" si="6">H17-I17</f>
        <v>0</v>
      </c>
      <c r="M17" s="134">
        <f t="shared" ref="M17:M51" si="7">G17-H17</f>
        <v>0</v>
      </c>
      <c r="N17" s="135">
        <v>321</v>
      </c>
      <c r="O17" s="135">
        <f t="shared" si="1"/>
        <v>0</v>
      </c>
      <c r="P17" s="135">
        <f t="shared" si="2"/>
        <v>0</v>
      </c>
      <c r="Q17" s="135">
        <f t="shared" si="3"/>
        <v>0</v>
      </c>
    </row>
    <row r="18" spans="3:17" s="17" customFormat="1" ht="15" customHeight="1" x14ac:dyDescent="0.3">
      <c r="C18" s="197" t="s">
        <v>192</v>
      </c>
      <c r="D18" s="160"/>
      <c r="E18" s="160"/>
      <c r="F18" s="160">
        <v>27000</v>
      </c>
      <c r="G18" s="160"/>
      <c r="H18" s="160"/>
      <c r="I18" s="160"/>
      <c r="J18" s="136"/>
      <c r="K18" s="134"/>
      <c r="L18" s="134"/>
      <c r="M18" s="134"/>
      <c r="N18" s="135"/>
      <c r="O18" s="135"/>
      <c r="P18" s="135"/>
      <c r="Q18" s="135"/>
    </row>
    <row r="19" spans="3:17" ht="15" customHeight="1" x14ac:dyDescent="0.3">
      <c r="C19" s="159" t="s">
        <v>154</v>
      </c>
      <c r="D19" s="160">
        <f t="shared" ref="D19:F19" si="8">8111.4+10944</f>
        <v>19055.400000000001</v>
      </c>
      <c r="E19" s="160">
        <f t="shared" si="8"/>
        <v>19055.400000000001</v>
      </c>
      <c r="F19" s="160">
        <f t="shared" si="8"/>
        <v>19055.400000000001</v>
      </c>
      <c r="G19" s="160">
        <f>8111.4+10944</f>
        <v>19055.400000000001</v>
      </c>
      <c r="H19" s="160">
        <f t="shared" ref="H19:I19" si="9">8111.4+10944</f>
        <v>19055.400000000001</v>
      </c>
      <c r="I19" s="160">
        <f t="shared" si="9"/>
        <v>19055.400000000001</v>
      </c>
      <c r="J19" s="133">
        <v>6000</v>
      </c>
      <c r="K19" s="134">
        <f t="shared" si="5"/>
        <v>13055.400000000001</v>
      </c>
      <c r="L19" s="134">
        <f t="shared" si="6"/>
        <v>0</v>
      </c>
      <c r="M19" s="134">
        <f t="shared" si="7"/>
        <v>0</v>
      </c>
      <c r="N19" s="135">
        <v>321</v>
      </c>
      <c r="O19" s="135">
        <f t="shared" si="1"/>
        <v>0</v>
      </c>
      <c r="P19" s="135">
        <f t="shared" si="2"/>
        <v>0</v>
      </c>
      <c r="Q19" s="135">
        <f t="shared" si="3"/>
        <v>0</v>
      </c>
    </row>
    <row r="20" spans="3:17" ht="15" customHeight="1" x14ac:dyDescent="0.3">
      <c r="C20" s="159" t="s">
        <v>155</v>
      </c>
      <c r="D20" s="160">
        <f t="shared" ref="D20:F20" si="10">5376+25872+1344</f>
        <v>32592</v>
      </c>
      <c r="E20" s="160">
        <f t="shared" si="10"/>
        <v>32592</v>
      </c>
      <c r="F20" s="160">
        <f t="shared" si="10"/>
        <v>32592</v>
      </c>
      <c r="G20" s="160">
        <f>5376+25872+1344</f>
        <v>32592</v>
      </c>
      <c r="H20" s="160">
        <f>5376+25872+1344</f>
        <v>32592</v>
      </c>
      <c r="I20" s="160">
        <f>5376+25872+1344</f>
        <v>32592</v>
      </c>
      <c r="J20" s="136">
        <v>51240</v>
      </c>
      <c r="K20" s="134">
        <f t="shared" si="5"/>
        <v>-18648</v>
      </c>
      <c r="L20" s="134">
        <f t="shared" si="6"/>
        <v>0</v>
      </c>
      <c r="M20" s="134">
        <f t="shared" si="7"/>
        <v>0</v>
      </c>
      <c r="N20" s="135">
        <v>321</v>
      </c>
      <c r="O20" s="135">
        <f t="shared" si="1"/>
        <v>0</v>
      </c>
      <c r="P20" s="135">
        <f t="shared" si="2"/>
        <v>0</v>
      </c>
      <c r="Q20" s="135">
        <f t="shared" si="3"/>
        <v>0</v>
      </c>
    </row>
    <row r="21" spans="3:17" ht="15" customHeight="1" x14ac:dyDescent="0.3">
      <c r="C21" s="159" t="s">
        <v>117</v>
      </c>
      <c r="D21" s="160">
        <v>25401.599999999999</v>
      </c>
      <c r="E21" s="160">
        <v>25401.599999999999</v>
      </c>
      <c r="F21" s="160">
        <v>25401.599999999999</v>
      </c>
      <c r="G21" s="160">
        <v>25401.599999999999</v>
      </c>
      <c r="H21" s="160">
        <v>25401.599999999999</v>
      </c>
      <c r="I21" s="160">
        <v>25401.599999999999</v>
      </c>
      <c r="J21" s="136">
        <v>25620</v>
      </c>
      <c r="K21" s="134">
        <f t="shared" si="5"/>
        <v>-218.40000000000146</v>
      </c>
      <c r="L21" s="134">
        <f t="shared" si="6"/>
        <v>0</v>
      </c>
      <c r="M21" s="134">
        <f t="shared" si="7"/>
        <v>0</v>
      </c>
      <c r="N21" s="135">
        <v>321</v>
      </c>
      <c r="O21" s="135">
        <f t="shared" si="1"/>
        <v>0</v>
      </c>
      <c r="P21" s="135">
        <f t="shared" si="2"/>
        <v>0</v>
      </c>
      <c r="Q21" s="135">
        <f t="shared" si="3"/>
        <v>0</v>
      </c>
    </row>
    <row r="22" spans="3:17" s="17" customFormat="1" ht="15" customHeight="1" x14ac:dyDescent="0.3">
      <c r="C22" s="159" t="s">
        <v>118</v>
      </c>
      <c r="D22" s="160">
        <v>18000</v>
      </c>
      <c r="E22" s="160">
        <v>18000</v>
      </c>
      <c r="F22" s="160">
        <v>18000</v>
      </c>
      <c r="G22" s="160">
        <v>18000</v>
      </c>
      <c r="H22" s="160">
        <v>18000</v>
      </c>
      <c r="I22" s="160">
        <v>18000</v>
      </c>
      <c r="J22" s="136">
        <v>0</v>
      </c>
      <c r="K22" s="134">
        <f t="shared" si="5"/>
        <v>18000</v>
      </c>
      <c r="L22" s="134">
        <f t="shared" si="6"/>
        <v>0</v>
      </c>
      <c r="M22" s="134">
        <f t="shared" si="7"/>
        <v>0</v>
      </c>
      <c r="N22" s="135">
        <v>321</v>
      </c>
      <c r="O22" s="135">
        <f t="shared" si="1"/>
        <v>0</v>
      </c>
      <c r="P22" s="135">
        <f t="shared" si="2"/>
        <v>0</v>
      </c>
      <c r="Q22" s="135">
        <f t="shared" si="3"/>
        <v>0</v>
      </c>
    </row>
    <row r="23" spans="3:17" ht="15" customHeight="1" x14ac:dyDescent="0.3">
      <c r="C23" s="159" t="s">
        <v>119</v>
      </c>
      <c r="D23" s="160">
        <v>26520</v>
      </c>
      <c r="E23" s="160">
        <v>26520</v>
      </c>
      <c r="F23" s="160">
        <v>26520</v>
      </c>
      <c r="G23" s="160">
        <v>26520</v>
      </c>
      <c r="H23" s="160">
        <f>3600+1800+7380+5136+2400+1200</f>
        <v>21516</v>
      </c>
      <c r="I23" s="160">
        <f>3600+1800+7380+5136+2400+1200</f>
        <v>21516</v>
      </c>
      <c r="J23" s="136">
        <v>3600</v>
      </c>
      <c r="K23" s="134">
        <f t="shared" si="5"/>
        <v>17916</v>
      </c>
      <c r="L23" s="134">
        <f t="shared" si="6"/>
        <v>0</v>
      </c>
      <c r="M23" s="134">
        <f t="shared" si="7"/>
        <v>5004</v>
      </c>
      <c r="N23" s="135">
        <v>321</v>
      </c>
      <c r="O23" s="135">
        <f t="shared" si="1"/>
        <v>0</v>
      </c>
      <c r="P23" s="135">
        <f t="shared" si="2"/>
        <v>0</v>
      </c>
      <c r="Q23" s="135">
        <f t="shared" si="3"/>
        <v>5004</v>
      </c>
    </row>
    <row r="24" spans="3:17" ht="15" customHeight="1" x14ac:dyDescent="0.3">
      <c r="C24" s="131" t="s">
        <v>181</v>
      </c>
      <c r="D24" s="160">
        <f t="shared" ref="D24:F24" si="11">1944+2925.6+960+4596+1027.2+1027.2</f>
        <v>12480.000000000002</v>
      </c>
      <c r="E24" s="160">
        <f t="shared" si="11"/>
        <v>12480.000000000002</v>
      </c>
      <c r="F24" s="160">
        <f t="shared" si="11"/>
        <v>12480.000000000002</v>
      </c>
      <c r="G24" s="160">
        <f>1944+2925.6+960+4596+1027.2+1027.2</f>
        <v>12480.000000000002</v>
      </c>
      <c r="H24" s="160">
        <f>4596+960+1944+2925.6</f>
        <v>10425.6</v>
      </c>
      <c r="I24" s="160">
        <f>4596+960+1944+2925.6</f>
        <v>10425.6</v>
      </c>
      <c r="J24" s="138">
        <f>18000+3600</f>
        <v>21600</v>
      </c>
      <c r="K24" s="134">
        <f t="shared" si="5"/>
        <v>-11174.4</v>
      </c>
      <c r="L24" s="134">
        <f t="shared" si="6"/>
        <v>0</v>
      </c>
      <c r="M24" s="134">
        <f t="shared" si="7"/>
        <v>2054.4000000000015</v>
      </c>
      <c r="N24" s="135">
        <v>321</v>
      </c>
      <c r="O24" s="135">
        <f t="shared" si="1"/>
        <v>0</v>
      </c>
      <c r="P24" s="135">
        <f t="shared" si="2"/>
        <v>0</v>
      </c>
      <c r="Q24" s="135">
        <f t="shared" si="3"/>
        <v>2054.4000000000015</v>
      </c>
    </row>
    <row r="25" spans="3:17" ht="15" customHeight="1" x14ac:dyDescent="0.3">
      <c r="C25" s="131" t="s">
        <v>121</v>
      </c>
      <c r="D25" s="139">
        <v>600</v>
      </c>
      <c r="E25" s="139">
        <v>600</v>
      </c>
      <c r="F25" s="139">
        <v>600</v>
      </c>
      <c r="G25" s="139">
        <v>600</v>
      </c>
      <c r="H25" s="139">
        <v>600</v>
      </c>
      <c r="I25" s="139">
        <v>600</v>
      </c>
      <c r="J25" s="138">
        <v>600</v>
      </c>
      <c r="K25" s="134">
        <f t="shared" si="5"/>
        <v>0</v>
      </c>
      <c r="L25" s="134">
        <f t="shared" si="6"/>
        <v>0</v>
      </c>
      <c r="M25" s="134">
        <f t="shared" si="7"/>
        <v>0</v>
      </c>
      <c r="N25" s="135">
        <v>321</v>
      </c>
      <c r="O25" s="135">
        <f t="shared" si="1"/>
        <v>0</v>
      </c>
      <c r="P25" s="135">
        <f t="shared" si="2"/>
        <v>0</v>
      </c>
      <c r="Q25" s="135">
        <f t="shared" si="3"/>
        <v>0</v>
      </c>
    </row>
    <row r="26" spans="3:17" s="17" customFormat="1" ht="15" customHeight="1" x14ac:dyDescent="0.3">
      <c r="C26" s="131" t="s">
        <v>17</v>
      </c>
      <c r="D26" s="139">
        <v>0</v>
      </c>
      <c r="E26" s="139">
        <v>0</v>
      </c>
      <c r="F26" s="139">
        <v>0</v>
      </c>
      <c r="G26" s="139">
        <v>0</v>
      </c>
      <c r="H26" s="139">
        <v>0</v>
      </c>
      <c r="I26" s="139">
        <v>0</v>
      </c>
      <c r="J26" s="133">
        <v>0</v>
      </c>
      <c r="K26" s="134">
        <f>I26-J26</f>
        <v>0</v>
      </c>
      <c r="L26" s="134">
        <f t="shared" si="6"/>
        <v>0</v>
      </c>
      <c r="M26" s="134">
        <f t="shared" si="7"/>
        <v>0</v>
      </c>
      <c r="N26" s="135">
        <v>321</v>
      </c>
      <c r="O26" s="135">
        <f t="shared" si="1"/>
        <v>0</v>
      </c>
      <c r="P26" s="135">
        <f t="shared" si="2"/>
        <v>0</v>
      </c>
      <c r="Q26" s="135">
        <f t="shared" si="3"/>
        <v>0</v>
      </c>
    </row>
    <row r="27" spans="3:17" s="17" customFormat="1" ht="15" customHeight="1" x14ac:dyDescent="0.3">
      <c r="C27" s="131" t="s">
        <v>18</v>
      </c>
      <c r="D27" s="139">
        <v>0</v>
      </c>
      <c r="E27" s="139">
        <v>0</v>
      </c>
      <c r="F27" s="139">
        <v>0</v>
      </c>
      <c r="G27" s="139">
        <v>0</v>
      </c>
      <c r="H27" s="139">
        <v>0</v>
      </c>
      <c r="I27" s="139">
        <v>0</v>
      </c>
      <c r="J27" s="133">
        <v>0</v>
      </c>
      <c r="K27" s="134">
        <f>I27-J27</f>
        <v>0</v>
      </c>
      <c r="L27" s="134">
        <f t="shared" si="6"/>
        <v>0</v>
      </c>
      <c r="M27" s="134">
        <f t="shared" si="7"/>
        <v>0</v>
      </c>
      <c r="N27" s="135">
        <v>321</v>
      </c>
      <c r="O27" s="135">
        <f t="shared" si="1"/>
        <v>0</v>
      </c>
      <c r="P27" s="135">
        <f t="shared" si="2"/>
        <v>0</v>
      </c>
      <c r="Q27" s="135">
        <f t="shared" si="3"/>
        <v>0</v>
      </c>
    </row>
    <row r="28" spans="3:17" s="17" customFormat="1" ht="15" customHeight="1" x14ac:dyDescent="0.3">
      <c r="C28" s="131" t="s">
        <v>15</v>
      </c>
      <c r="D28" s="139">
        <v>0</v>
      </c>
      <c r="E28" s="139">
        <v>0</v>
      </c>
      <c r="F28" s="139">
        <v>0</v>
      </c>
      <c r="G28" s="139">
        <v>0</v>
      </c>
      <c r="H28" s="139">
        <v>0</v>
      </c>
      <c r="I28" s="139">
        <v>0</v>
      </c>
      <c r="J28" s="133">
        <v>0</v>
      </c>
      <c r="K28" s="134">
        <f>I28-J28</f>
        <v>0</v>
      </c>
      <c r="L28" s="134">
        <f t="shared" si="6"/>
        <v>0</v>
      </c>
      <c r="M28" s="134">
        <f t="shared" si="7"/>
        <v>0</v>
      </c>
      <c r="N28" s="135">
        <v>321</v>
      </c>
      <c r="O28" s="135">
        <f t="shared" si="1"/>
        <v>0</v>
      </c>
      <c r="P28" s="135">
        <f t="shared" si="2"/>
        <v>0</v>
      </c>
      <c r="Q28" s="135">
        <f t="shared" si="3"/>
        <v>0</v>
      </c>
    </row>
    <row r="29" spans="3:17" s="17" customFormat="1" ht="15" customHeight="1" x14ac:dyDescent="0.3">
      <c r="C29" s="131" t="s">
        <v>122</v>
      </c>
      <c r="D29" s="139">
        <v>40992</v>
      </c>
      <c r="E29" s="139">
        <v>40992</v>
      </c>
      <c r="F29" s="139">
        <v>40992</v>
      </c>
      <c r="G29" s="139">
        <v>40992</v>
      </c>
      <c r="H29" s="139">
        <v>40992</v>
      </c>
      <c r="I29" s="139">
        <v>40992</v>
      </c>
      <c r="J29" s="133">
        <v>38508</v>
      </c>
      <c r="K29" s="134">
        <f>I29-J29</f>
        <v>2484</v>
      </c>
      <c r="L29" s="134">
        <f t="shared" si="6"/>
        <v>0</v>
      </c>
      <c r="M29" s="134">
        <f t="shared" si="7"/>
        <v>0</v>
      </c>
      <c r="N29" s="135">
        <v>321</v>
      </c>
      <c r="O29" s="135">
        <f t="shared" si="1"/>
        <v>0</v>
      </c>
      <c r="P29" s="135">
        <f t="shared" si="2"/>
        <v>0</v>
      </c>
      <c r="Q29" s="135">
        <f t="shared" si="3"/>
        <v>0</v>
      </c>
    </row>
    <row r="30" spans="3:17" s="17" customFormat="1" ht="15" customHeight="1" x14ac:dyDescent="0.3">
      <c r="C30" s="131" t="s">
        <v>132</v>
      </c>
      <c r="D30" s="139">
        <v>60000</v>
      </c>
      <c r="E30" s="139">
        <v>60000</v>
      </c>
      <c r="F30" s="139">
        <v>60000</v>
      </c>
      <c r="G30" s="139">
        <v>60000</v>
      </c>
      <c r="H30" s="139">
        <v>60000</v>
      </c>
      <c r="I30" s="139">
        <v>60000</v>
      </c>
      <c r="J30" s="133">
        <v>60000</v>
      </c>
      <c r="K30" s="134">
        <f>I30-J30</f>
        <v>0</v>
      </c>
      <c r="L30" s="134">
        <f t="shared" si="6"/>
        <v>0</v>
      </c>
      <c r="M30" s="134">
        <f t="shared" si="7"/>
        <v>0</v>
      </c>
      <c r="N30" s="135">
        <v>321</v>
      </c>
      <c r="O30" s="135">
        <f t="shared" si="1"/>
        <v>0</v>
      </c>
      <c r="P30" s="135">
        <f t="shared" si="2"/>
        <v>0</v>
      </c>
      <c r="Q30" s="135">
        <f t="shared" si="3"/>
        <v>0</v>
      </c>
    </row>
    <row r="31" spans="3:17" s="17" customFormat="1" ht="15" customHeight="1" x14ac:dyDescent="0.3">
      <c r="C31" s="115" t="s">
        <v>175</v>
      </c>
      <c r="D31" s="120">
        <f t="shared" ref="D31:E31" si="12">SUM(D15:D30)</f>
        <v>1449701</v>
      </c>
      <c r="E31" s="120">
        <f t="shared" si="12"/>
        <v>1449701</v>
      </c>
      <c r="F31" s="120">
        <f>SUM(F15:F30)</f>
        <v>1476701</v>
      </c>
      <c r="G31" s="137">
        <f>SUM(G15:G30)</f>
        <v>1449701</v>
      </c>
      <c r="H31" s="137">
        <f>SUM(H15:H30)</f>
        <v>1442642.6</v>
      </c>
      <c r="I31" s="137">
        <f>SUM(I15:I30)</f>
        <v>1442642.6</v>
      </c>
      <c r="J31" s="137">
        <f>SUM(J15:J30)</f>
        <v>1438750</v>
      </c>
      <c r="K31" s="140">
        <f t="shared" ref="K31" si="13">I31-J31</f>
        <v>3892.6000000000931</v>
      </c>
      <c r="L31" s="140">
        <f t="shared" si="6"/>
        <v>0</v>
      </c>
      <c r="M31" s="140">
        <f>G31-H31</f>
        <v>7058.3999999999069</v>
      </c>
      <c r="N31" s="135">
        <f t="shared" ref="N31:N49" si="14">F31-G31</f>
        <v>27000</v>
      </c>
      <c r="O31" s="135">
        <f t="shared" ref="O31:O49" si="15">E31-F31</f>
        <v>-27000</v>
      </c>
      <c r="P31" s="135">
        <f t="shared" ref="P31:P49" si="16">D31-E31</f>
        <v>0</v>
      </c>
      <c r="Q31" s="135">
        <f t="shared" ref="Q31:Q49" si="17">D31-I31</f>
        <v>7058.3999999999069</v>
      </c>
    </row>
    <row r="32" spans="3:17" s="17" customFormat="1" ht="15" customHeight="1" x14ac:dyDescent="0.3">
      <c r="C32" s="116" t="s">
        <v>34</v>
      </c>
      <c r="D32" s="121"/>
      <c r="E32" s="118"/>
      <c r="F32" s="161">
        <f>Détails!I38*1.2*130.8/131.2</f>
        <v>375671.55731707322</v>
      </c>
      <c r="G32" s="132">
        <f>Détails!G38*1.2*130.8/131.2</f>
        <v>378248.47682926833</v>
      </c>
      <c r="H32" s="132">
        <f>Détails!E38*1.2</f>
        <v>350580</v>
      </c>
      <c r="I32" s="132">
        <f>292150*1.2</f>
        <v>350580</v>
      </c>
      <c r="J32" s="141"/>
      <c r="K32" s="141"/>
      <c r="L32" s="134">
        <f>H32-I32</f>
        <v>0</v>
      </c>
      <c r="M32" s="134">
        <f t="shared" si="7"/>
        <v>27668.476829268329</v>
      </c>
      <c r="N32" s="135">
        <f t="shared" si="14"/>
        <v>-2576.9195121951052</v>
      </c>
      <c r="O32" s="135">
        <f t="shared" si="15"/>
        <v>-375671.55731707322</v>
      </c>
      <c r="P32" s="135">
        <f t="shared" si="16"/>
        <v>0</v>
      </c>
      <c r="Q32" s="135">
        <f t="shared" si="17"/>
        <v>-350580</v>
      </c>
    </row>
    <row r="33" spans="3:17" s="17" customFormat="1" ht="15" customHeight="1" x14ac:dyDescent="0.3">
      <c r="C33" s="116" t="s">
        <v>35</v>
      </c>
      <c r="D33" s="121"/>
      <c r="E33" s="118"/>
      <c r="F33" s="132">
        <f>Détails!I44*1.2*130.8/131.2</f>
        <v>145355.48780487807</v>
      </c>
      <c r="G33" s="132">
        <f>Détails!G44*1.2*130.8/131.2</f>
        <v>130640.48780487807</v>
      </c>
      <c r="H33" s="132">
        <f>Détails!E44*1.2</f>
        <v>76800</v>
      </c>
      <c r="I33" s="132">
        <f>64000*1.2</f>
        <v>76800</v>
      </c>
      <c r="J33" s="141"/>
      <c r="K33" s="141"/>
      <c r="L33" s="134">
        <f t="shared" si="6"/>
        <v>0</v>
      </c>
      <c r="M33" s="134">
        <f t="shared" si="7"/>
        <v>53840.487804878067</v>
      </c>
      <c r="N33" s="135">
        <f t="shared" si="14"/>
        <v>14715</v>
      </c>
      <c r="O33" s="135">
        <f t="shared" si="15"/>
        <v>-145355.48780487807</v>
      </c>
      <c r="P33" s="135">
        <f t="shared" si="16"/>
        <v>0</v>
      </c>
      <c r="Q33" s="135">
        <f t="shared" si="17"/>
        <v>-76800</v>
      </c>
    </row>
    <row r="34" spans="3:17" s="17" customFormat="1" ht="15" customHeight="1" x14ac:dyDescent="0.3">
      <c r="C34" s="116" t="s">
        <v>36</v>
      </c>
      <c r="D34" s="121"/>
      <c r="E34" s="118"/>
      <c r="F34" s="132">
        <f>Détails!I45*1.2*130.8/131.2</f>
        <v>1217276.9604878051</v>
      </c>
      <c r="G34" s="132">
        <f>Détails!G45*1.2*130.8/131.2</f>
        <v>1267863.9207036588</v>
      </c>
      <c r="H34" s="132">
        <f>Détails!E45+Détails!E48*1.2</f>
        <v>1139482</v>
      </c>
      <c r="I34" s="132">
        <f>1001235*1.2</f>
        <v>1201482</v>
      </c>
      <c r="J34" s="141"/>
      <c r="K34" s="141"/>
      <c r="L34" s="134">
        <f t="shared" si="6"/>
        <v>-62000</v>
      </c>
      <c r="M34" s="134">
        <f t="shared" si="7"/>
        <v>128381.92070365883</v>
      </c>
      <c r="N34" s="135">
        <f t="shared" si="14"/>
        <v>-50586.96021585376</v>
      </c>
      <c r="O34" s="135">
        <f t="shared" si="15"/>
        <v>-1217276.9604878051</v>
      </c>
      <c r="P34" s="135">
        <f t="shared" si="16"/>
        <v>0</v>
      </c>
      <c r="Q34" s="135">
        <f t="shared" si="17"/>
        <v>-1201482</v>
      </c>
    </row>
    <row r="35" spans="3:17" s="17" customFormat="1" ht="15" customHeight="1" x14ac:dyDescent="0.3">
      <c r="C35" s="116" t="s">
        <v>37</v>
      </c>
      <c r="D35" s="121"/>
      <c r="E35" s="118"/>
      <c r="F35" s="132">
        <f>Détails!I53*1.2*130.8/131.2</f>
        <v>156160.84390243905</v>
      </c>
      <c r="G35" s="132">
        <f>Détails!G53*1.2*130.8/131.2</f>
        <v>185746.36829268295</v>
      </c>
      <c r="H35" s="132">
        <f>Détails!E53*1.2</f>
        <v>177031.19999999998</v>
      </c>
      <c r="I35" s="132">
        <f>147526*1.2</f>
        <v>177031.19999999998</v>
      </c>
      <c r="J35" s="141"/>
      <c r="K35" s="141"/>
      <c r="L35" s="134">
        <f t="shared" si="6"/>
        <v>0</v>
      </c>
      <c r="M35" s="134">
        <f t="shared" si="7"/>
        <v>8715.1682926829671</v>
      </c>
      <c r="N35" s="135">
        <f t="shared" si="14"/>
        <v>-29585.524390243896</v>
      </c>
      <c r="O35" s="135">
        <f t="shared" si="15"/>
        <v>-156160.84390243905</v>
      </c>
      <c r="P35" s="135">
        <f t="shared" si="16"/>
        <v>0</v>
      </c>
      <c r="Q35" s="135">
        <f t="shared" si="17"/>
        <v>-177031.19999999998</v>
      </c>
    </row>
    <row r="36" spans="3:17" s="17" customFormat="1" ht="15" customHeight="1" x14ac:dyDescent="0.3">
      <c r="C36" s="116" t="s">
        <v>38</v>
      </c>
      <c r="D36" s="121"/>
      <c r="E36" s="118"/>
      <c r="F36" s="132">
        <f>Détails!I56*1.2*130.8/131.2</f>
        <v>260778.51219512202</v>
      </c>
      <c r="G36" s="132">
        <f>Détails!G56*1.2*130.8/131.2</f>
        <v>186730.95731707319</v>
      </c>
      <c r="H36" s="132">
        <f>Détails!E56*1.2</f>
        <v>156888</v>
      </c>
      <c r="I36" s="132">
        <f>130740*1.2</f>
        <v>156888</v>
      </c>
      <c r="J36" s="141"/>
      <c r="K36" s="141"/>
      <c r="L36" s="134">
        <f t="shared" si="6"/>
        <v>0</v>
      </c>
      <c r="M36" s="134">
        <f t="shared" si="7"/>
        <v>29842.957317073189</v>
      </c>
      <c r="N36" s="135">
        <f t="shared" si="14"/>
        <v>74047.554878048832</v>
      </c>
      <c r="O36" s="135">
        <f t="shared" si="15"/>
        <v>-260778.51219512202</v>
      </c>
      <c r="P36" s="135">
        <f t="shared" si="16"/>
        <v>0</v>
      </c>
      <c r="Q36" s="135">
        <f t="shared" si="17"/>
        <v>-156888</v>
      </c>
    </row>
    <row r="37" spans="3:17" s="17" customFormat="1" ht="15" customHeight="1" x14ac:dyDescent="0.3">
      <c r="C37" s="116" t="s">
        <v>39</v>
      </c>
      <c r="D37" s="121"/>
      <c r="E37" s="118"/>
      <c r="F37" s="132">
        <f>Détails!I60*1.2*130.8/131.2</f>
        <v>226945.97560975613</v>
      </c>
      <c r="G37" s="132">
        <f>Détails!G60*1.2*130.8/131.2</f>
        <v>253193.70731707322</v>
      </c>
      <c r="H37" s="132">
        <f>Détails!E60*1.2</f>
        <v>267540</v>
      </c>
      <c r="I37" s="132">
        <f>222950*1.2</f>
        <v>267540</v>
      </c>
      <c r="J37" s="141"/>
      <c r="K37" s="141"/>
      <c r="L37" s="134">
        <f t="shared" si="6"/>
        <v>0</v>
      </c>
      <c r="M37" s="134">
        <f t="shared" si="7"/>
        <v>-14346.292682926782</v>
      </c>
      <c r="N37" s="135">
        <f t="shared" si="14"/>
        <v>-26247.731707317085</v>
      </c>
      <c r="O37" s="135">
        <f t="shared" si="15"/>
        <v>-226945.97560975613</v>
      </c>
      <c r="P37" s="135">
        <f t="shared" si="16"/>
        <v>0</v>
      </c>
      <c r="Q37" s="135">
        <f t="shared" si="17"/>
        <v>-267540</v>
      </c>
    </row>
    <row r="38" spans="3:17" s="17" customFormat="1" ht="15" customHeight="1" x14ac:dyDescent="0.3">
      <c r="C38" s="116" t="s">
        <v>40</v>
      </c>
      <c r="D38" s="121"/>
      <c r="E38" s="118"/>
      <c r="F38" s="132">
        <f>Détails!I61*1.2*130.8/131.2</f>
        <v>132494.81707317074</v>
      </c>
      <c r="G38" s="132">
        <f>Détails!G61*1.2*130.8/131.2</f>
        <v>167069.08536585371</v>
      </c>
      <c r="H38" s="132">
        <f>Détails!E61*1.2</f>
        <v>154140</v>
      </c>
      <c r="I38" s="132">
        <f>128450*1.2</f>
        <v>154140</v>
      </c>
      <c r="J38" s="141"/>
      <c r="K38" s="141"/>
      <c r="L38" s="134">
        <f t="shared" si="6"/>
        <v>0</v>
      </c>
      <c r="M38" s="134">
        <f t="shared" si="7"/>
        <v>12929.085365853709</v>
      </c>
      <c r="N38" s="135">
        <f t="shared" si="14"/>
        <v>-34574.268292682973</v>
      </c>
      <c r="O38" s="135">
        <f t="shared" si="15"/>
        <v>-132494.81707317074</v>
      </c>
      <c r="P38" s="135">
        <f t="shared" si="16"/>
        <v>0</v>
      </c>
      <c r="Q38" s="135">
        <f t="shared" si="17"/>
        <v>-154140</v>
      </c>
    </row>
    <row r="39" spans="3:17" s="17" customFormat="1" ht="15" customHeight="1" x14ac:dyDescent="0.3">
      <c r="C39" s="116" t="s">
        <v>41</v>
      </c>
      <c r="D39" s="121" t="s">
        <v>178</v>
      </c>
      <c r="E39" s="118"/>
      <c r="F39" s="132">
        <f>Détails!I63*1.2*130.8/131.2</f>
        <v>482151.92926829268</v>
      </c>
      <c r="G39" s="132">
        <f>Détails!G63*1.2*130.8/131.2</f>
        <v>436724.21195121953</v>
      </c>
      <c r="H39" s="132">
        <f>Détails!E63*1.2</f>
        <v>505957.19999999995</v>
      </c>
      <c r="I39" s="132">
        <f>421631*1.2</f>
        <v>505957.19999999995</v>
      </c>
      <c r="J39" s="141"/>
      <c r="K39" s="141"/>
      <c r="L39" s="134">
        <f t="shared" si="6"/>
        <v>0</v>
      </c>
      <c r="M39" s="134">
        <f t="shared" si="7"/>
        <v>-69232.988048780418</v>
      </c>
      <c r="N39" s="135">
        <f t="shared" si="14"/>
        <v>45427.71731707314</v>
      </c>
      <c r="O39" s="135">
        <f t="shared" si="15"/>
        <v>-482151.92926829268</v>
      </c>
      <c r="P39" s="135" t="e">
        <f t="shared" si="16"/>
        <v>#VALUE!</v>
      </c>
      <c r="Q39" s="135" t="e">
        <f t="shared" si="17"/>
        <v>#VALUE!</v>
      </c>
    </row>
    <row r="40" spans="3:17" s="17" customFormat="1" ht="15" customHeight="1" x14ac:dyDescent="0.3">
      <c r="C40" s="116" t="s">
        <v>42</v>
      </c>
      <c r="D40" s="121"/>
      <c r="E40" s="118"/>
      <c r="F40" s="132">
        <f>Détails!I67*1.2*130.8/131.2</f>
        <v>61405.814634146351</v>
      </c>
      <c r="G40" s="132">
        <f>Détails!G67*1.2*130.8/131.2</f>
        <v>67076.473170731711</v>
      </c>
      <c r="H40" s="132">
        <f>Détails!E67*1.2</f>
        <v>122400</v>
      </c>
      <c r="I40" s="132">
        <f>102000*1.2</f>
        <v>122400</v>
      </c>
      <c r="J40" s="141"/>
      <c r="K40" s="141"/>
      <c r="L40" s="134">
        <f t="shared" si="6"/>
        <v>0</v>
      </c>
      <c r="M40" s="134">
        <f t="shared" si="7"/>
        <v>-55323.526829268289</v>
      </c>
      <c r="N40" s="135">
        <f t="shared" si="14"/>
        <v>-5670.6585365853607</v>
      </c>
      <c r="O40" s="135">
        <f t="shared" si="15"/>
        <v>-61405.814634146351</v>
      </c>
      <c r="P40" s="135">
        <f t="shared" si="16"/>
        <v>0</v>
      </c>
      <c r="Q40" s="135">
        <f t="shared" si="17"/>
        <v>-122400</v>
      </c>
    </row>
    <row r="41" spans="3:17" s="17" customFormat="1" ht="15" customHeight="1" x14ac:dyDescent="0.3">
      <c r="C41" s="116" t="s">
        <v>43</v>
      </c>
      <c r="D41" s="121" t="s">
        <v>178</v>
      </c>
      <c r="E41" s="118"/>
      <c r="F41" s="132">
        <f>Détails!I68*1.2*130.8/131.2</f>
        <v>579759.036585366</v>
      </c>
      <c r="G41" s="132">
        <f>Détails!G68*1.2*130.8/131.2</f>
        <v>583814.63653902453</v>
      </c>
      <c r="H41" s="132">
        <f>Détails!E68*1.2</f>
        <v>555888</v>
      </c>
      <c r="I41" s="132">
        <f>463240*1.2</f>
        <v>555888</v>
      </c>
      <c r="J41" s="141"/>
      <c r="K41" s="141"/>
      <c r="L41" s="134">
        <f t="shared" si="6"/>
        <v>0</v>
      </c>
      <c r="M41" s="134">
        <f t="shared" si="7"/>
        <v>27926.636539024534</v>
      </c>
      <c r="N41" s="135">
        <f t="shared" si="14"/>
        <v>-4055.5999536585296</v>
      </c>
      <c r="O41" s="135">
        <f t="shared" si="15"/>
        <v>-579759.036585366</v>
      </c>
      <c r="P41" s="135" t="e">
        <f>D41-E41</f>
        <v>#VALUE!</v>
      </c>
      <c r="Q41" s="135" t="e">
        <f t="shared" si="17"/>
        <v>#VALUE!</v>
      </c>
    </row>
    <row r="42" spans="3:17" s="17" customFormat="1" ht="15" customHeight="1" x14ac:dyDescent="0.3">
      <c r="C42" s="116" t="s">
        <v>44</v>
      </c>
      <c r="D42" s="121" t="s">
        <v>178</v>
      </c>
      <c r="E42" s="118"/>
      <c r="F42" s="132">
        <f>Détails!I76*1.2*130.8/131.2</f>
        <v>197970.58536585368</v>
      </c>
      <c r="G42" s="132">
        <f>Détails!G76*1.2*130.8/131.2</f>
        <v>230012.19878048784</v>
      </c>
      <c r="H42" s="132">
        <f>Détails!E76*1.2</f>
        <v>229651.19999999998</v>
      </c>
      <c r="I42" s="132">
        <f>191376*1.2</f>
        <v>229651.19999999998</v>
      </c>
      <c r="J42" s="141"/>
      <c r="K42" s="141"/>
      <c r="L42" s="134">
        <f t="shared" si="6"/>
        <v>0</v>
      </c>
      <c r="M42" s="134">
        <f t="shared" si="7"/>
        <v>360.99878048786195</v>
      </c>
      <c r="N42" s="135">
        <f t="shared" si="14"/>
        <v>-32041.613414634165</v>
      </c>
      <c r="O42" s="135">
        <f t="shared" si="15"/>
        <v>-197970.58536585368</v>
      </c>
      <c r="P42" s="135" t="e">
        <f t="shared" si="16"/>
        <v>#VALUE!</v>
      </c>
      <c r="Q42" s="135" t="e">
        <f t="shared" si="17"/>
        <v>#VALUE!</v>
      </c>
    </row>
    <row r="43" spans="3:17" s="17" customFormat="1" ht="15" customHeight="1" x14ac:dyDescent="0.3">
      <c r="C43" s="116" t="s">
        <v>45</v>
      </c>
      <c r="D43" s="121"/>
      <c r="E43" s="118"/>
      <c r="F43" s="132">
        <f>Détails!I79*1.2*130.8/131.2</f>
        <v>94869.878048780505</v>
      </c>
      <c r="G43" s="132">
        <f>Détails!G79*1.2*130.8/131.2</f>
        <v>144039.51219512196</v>
      </c>
      <c r="H43" s="132">
        <f>Détails!E79*1.2</f>
        <v>86400</v>
      </c>
      <c r="I43" s="132">
        <f>72000*1.2</f>
        <v>86400</v>
      </c>
      <c r="J43" s="141"/>
      <c r="K43" s="141"/>
      <c r="L43" s="134">
        <f t="shared" si="6"/>
        <v>0</v>
      </c>
      <c r="M43" s="134">
        <f t="shared" si="7"/>
        <v>57639.512195121963</v>
      </c>
      <c r="N43" s="135">
        <f t="shared" si="14"/>
        <v>-49169.634146341457</v>
      </c>
      <c r="O43" s="135">
        <f t="shared" si="15"/>
        <v>-94869.878048780505</v>
      </c>
      <c r="P43" s="135">
        <f t="shared" si="16"/>
        <v>0</v>
      </c>
      <c r="Q43" s="135">
        <f t="shared" si="17"/>
        <v>-86400</v>
      </c>
    </row>
    <row r="44" spans="3:17" s="17" customFormat="1" ht="15" customHeight="1" x14ac:dyDescent="0.3">
      <c r="C44" s="116" t="s">
        <v>46</v>
      </c>
      <c r="D44" s="121"/>
      <c r="E44" s="118"/>
      <c r="F44" s="132">
        <f>Détails!I81*1.2*130.8/131.2</f>
        <v>81853.682926829279</v>
      </c>
      <c r="G44" s="132">
        <f>Détails!G81*1.2*130.8/131.2</f>
        <v>86914.207317073189</v>
      </c>
      <c r="H44" s="132">
        <f>Détails!E81*1.2</f>
        <v>78000</v>
      </c>
      <c r="I44" s="132">
        <f>65000*1.2</f>
        <v>78000</v>
      </c>
      <c r="J44" s="141"/>
      <c r="K44" s="141"/>
      <c r="L44" s="134">
        <f t="shared" si="6"/>
        <v>0</v>
      </c>
      <c r="M44" s="134">
        <f t="shared" si="7"/>
        <v>8914.2073170731892</v>
      </c>
      <c r="N44" s="135">
        <f t="shared" si="14"/>
        <v>-5060.5243902439106</v>
      </c>
      <c r="O44" s="135">
        <f t="shared" si="15"/>
        <v>-81853.682926829279</v>
      </c>
      <c r="P44" s="135">
        <f t="shared" si="16"/>
        <v>0</v>
      </c>
      <c r="Q44" s="135">
        <f t="shared" si="17"/>
        <v>-78000</v>
      </c>
    </row>
    <row r="45" spans="3:17" s="17" customFormat="1" ht="15" customHeight="1" x14ac:dyDescent="0.3">
      <c r="C45" s="116" t="s">
        <v>47</v>
      </c>
      <c r="D45" s="121"/>
      <c r="E45" s="118"/>
      <c r="F45" s="132">
        <f>Détails!I83*1.2*130.8/131.2</f>
        <v>239585.32317073175</v>
      </c>
      <c r="G45" s="132">
        <f>Détails!G83*1.2*130.8/131.2</f>
        <v>251919.60365853662</v>
      </c>
      <c r="H45" s="132">
        <f>Détails!E83*1.2</f>
        <v>163200</v>
      </c>
      <c r="I45" s="132">
        <f>136000*1.2</f>
        <v>163200</v>
      </c>
      <c r="J45" s="141"/>
      <c r="K45" s="141"/>
      <c r="L45" s="134">
        <f t="shared" si="6"/>
        <v>0</v>
      </c>
      <c r="M45" s="134">
        <f t="shared" si="7"/>
        <v>88719.603658536624</v>
      </c>
      <c r="N45" s="135">
        <f t="shared" si="14"/>
        <v>-12334.280487804877</v>
      </c>
      <c r="O45" s="135">
        <f t="shared" si="15"/>
        <v>-239585.32317073175</v>
      </c>
      <c r="P45" s="135">
        <f t="shared" si="16"/>
        <v>0</v>
      </c>
      <c r="Q45" s="135">
        <f t="shared" si="17"/>
        <v>-163200</v>
      </c>
    </row>
    <row r="46" spans="3:17" s="17" customFormat="1" ht="15" customHeight="1" x14ac:dyDescent="0.3">
      <c r="C46" s="116" t="s">
        <v>48</v>
      </c>
      <c r="D46" s="121"/>
      <c r="E46" s="118"/>
      <c r="F46" s="132">
        <f>Détails!I91*1.2*130.8/131.2</f>
        <v>592411.54390243907</v>
      </c>
      <c r="G46" s="132">
        <f>Détails!G91*1.2*130.8/131.2</f>
        <v>534110.23536585376</v>
      </c>
      <c r="H46" s="132">
        <f>Détails!E91*1.2</f>
        <v>517200</v>
      </c>
      <c r="I46" s="132">
        <f>431000*1.2</f>
        <v>517200</v>
      </c>
      <c r="J46" s="141"/>
      <c r="K46" s="141"/>
      <c r="L46" s="134">
        <f t="shared" si="6"/>
        <v>0</v>
      </c>
      <c r="M46" s="134">
        <f t="shared" si="7"/>
        <v>16910.235365853761</v>
      </c>
      <c r="N46" s="135">
        <f t="shared" si="14"/>
        <v>58301.308536585304</v>
      </c>
      <c r="O46" s="135">
        <f t="shared" si="15"/>
        <v>-592411.54390243907</v>
      </c>
      <c r="P46" s="135">
        <f t="shared" si="16"/>
        <v>0</v>
      </c>
      <c r="Q46" s="135">
        <f t="shared" si="17"/>
        <v>-517200</v>
      </c>
    </row>
    <row r="47" spans="3:17" s="17" customFormat="1" ht="15" customHeight="1" x14ac:dyDescent="0.3">
      <c r="C47" s="116" t="s">
        <v>49</v>
      </c>
      <c r="D47" s="121"/>
      <c r="E47" s="118"/>
      <c r="F47" s="132">
        <f>Détails!I97*1.2*130.8/131.2</f>
        <v>507476.08536585374</v>
      </c>
      <c r="G47" s="132">
        <f>Détails!G97*1.2*130.8/131.2</f>
        <v>342333.10975609766</v>
      </c>
      <c r="H47" s="132">
        <f>Détails!E97*1.2</f>
        <v>318000</v>
      </c>
      <c r="I47" s="132">
        <f>265000*1.2</f>
        <v>318000</v>
      </c>
      <c r="J47" s="141"/>
      <c r="K47" s="141"/>
      <c r="L47" s="134">
        <f t="shared" si="6"/>
        <v>0</v>
      </c>
      <c r="M47" s="134">
        <f t="shared" si="7"/>
        <v>24333.109756097663</v>
      </c>
      <c r="N47" s="135">
        <f t="shared" si="14"/>
        <v>165142.97560975607</v>
      </c>
      <c r="O47" s="135">
        <f t="shared" si="15"/>
        <v>-507476.08536585374</v>
      </c>
      <c r="P47" s="135">
        <f t="shared" si="16"/>
        <v>0</v>
      </c>
      <c r="Q47" s="135">
        <f t="shared" si="17"/>
        <v>-318000</v>
      </c>
    </row>
    <row r="48" spans="3:17" s="17" customFormat="1" ht="15" customHeight="1" x14ac:dyDescent="0.3">
      <c r="C48" s="116" t="s">
        <v>50</v>
      </c>
      <c r="D48" s="121"/>
      <c r="E48" s="118"/>
      <c r="F48" s="132">
        <f>Détails!I104*1.2*130.8/131.2</f>
        <v>185121.87804878052</v>
      </c>
      <c r="G48" s="132">
        <f>Détails!G104*1.2*130.8/131.2</f>
        <v>169090.90243902442</v>
      </c>
      <c r="H48" s="132">
        <f>Détails!E104*1.2</f>
        <v>186000</v>
      </c>
      <c r="I48" s="132">
        <f>155000*1.2</f>
        <v>186000</v>
      </c>
      <c r="J48" s="141"/>
      <c r="K48" s="141"/>
      <c r="L48" s="134">
        <f t="shared" si="6"/>
        <v>0</v>
      </c>
      <c r="M48" s="134">
        <f t="shared" si="7"/>
        <v>-16909.097560975584</v>
      </c>
      <c r="N48" s="135">
        <f t="shared" si="14"/>
        <v>16030.975609756104</v>
      </c>
      <c r="O48" s="135">
        <f t="shared" si="15"/>
        <v>-185121.87804878052</v>
      </c>
      <c r="P48" s="135">
        <f t="shared" si="16"/>
        <v>0</v>
      </c>
      <c r="Q48" s="135">
        <f t="shared" si="17"/>
        <v>-186000</v>
      </c>
    </row>
    <row r="49" spans="3:17" s="17" customFormat="1" ht="15" customHeight="1" x14ac:dyDescent="0.3">
      <c r="C49" s="116" t="s">
        <v>51</v>
      </c>
      <c r="D49" s="121"/>
      <c r="E49" s="118"/>
      <c r="F49" s="132">
        <f>Détails!I115*1.2*130.8/131.2</f>
        <v>26319.512195121955</v>
      </c>
      <c r="G49" s="132">
        <f>Détails!G115*1.2*130.8/131.2</f>
        <v>26319.512195121955</v>
      </c>
      <c r="H49" s="132">
        <f>Détails!E115*1.2</f>
        <v>24842.399999999998</v>
      </c>
      <c r="I49" s="132">
        <f>20702*1.2</f>
        <v>24842.399999999998</v>
      </c>
      <c r="J49" s="141"/>
      <c r="K49" s="141"/>
      <c r="L49" s="134">
        <f t="shared" si="6"/>
        <v>0</v>
      </c>
      <c r="M49" s="134">
        <f>G49-H49</f>
        <v>1477.1121951219575</v>
      </c>
      <c r="N49" s="135">
        <f t="shared" si="14"/>
        <v>0</v>
      </c>
      <c r="O49" s="135">
        <f t="shared" si="15"/>
        <v>-26319.512195121955</v>
      </c>
      <c r="P49" s="135">
        <f t="shared" si="16"/>
        <v>0</v>
      </c>
      <c r="Q49" s="135">
        <f t="shared" si="17"/>
        <v>-24842.399999999998</v>
      </c>
    </row>
    <row r="50" spans="3:17" s="17" customFormat="1" ht="15" customHeight="1" x14ac:dyDescent="0.3">
      <c r="C50" s="114" t="s">
        <v>166</v>
      </c>
      <c r="D50" s="118"/>
      <c r="E50" s="118"/>
      <c r="F50" s="118"/>
      <c r="G50" s="132">
        <f>Détails!G116*1.2*130.8/131.2</f>
        <v>126895.93902439026</v>
      </c>
      <c r="H50" s="132">
        <f>(31000+38000+45000+32100)*1.2</f>
        <v>175320</v>
      </c>
      <c r="I50" s="142"/>
      <c r="J50" s="141"/>
      <c r="K50" s="141"/>
      <c r="L50" s="134">
        <f t="shared" si="6"/>
        <v>175320</v>
      </c>
      <c r="M50" s="134">
        <f t="shared" si="7"/>
        <v>-48424.06097560974</v>
      </c>
      <c r="N50" s="135"/>
      <c r="O50" s="135"/>
      <c r="P50" s="135"/>
      <c r="Q50" s="135"/>
    </row>
    <row r="51" spans="3:17" s="17" customFormat="1" ht="15" customHeight="1" x14ac:dyDescent="0.3">
      <c r="C51" s="114" t="s">
        <v>165</v>
      </c>
      <c r="D51" s="118"/>
      <c r="E51" s="118"/>
      <c r="F51" s="118"/>
      <c r="G51" s="132">
        <f>Détails!G117*1.2*130.8/131.2</f>
        <v>-171513.49390243905</v>
      </c>
      <c r="H51" s="132"/>
      <c r="I51" s="142"/>
      <c r="J51" s="141"/>
      <c r="K51" s="141"/>
      <c r="L51" s="134">
        <f t="shared" si="6"/>
        <v>0</v>
      </c>
      <c r="M51" s="134">
        <f t="shared" si="7"/>
        <v>-171513.49390243905</v>
      </c>
      <c r="N51" s="135"/>
      <c r="O51" s="135"/>
      <c r="P51" s="135"/>
      <c r="Q51" s="135"/>
    </row>
    <row r="52" spans="3:17" ht="15" customHeight="1" x14ac:dyDescent="0.3">
      <c r="C52" s="115" t="s">
        <v>167</v>
      </c>
      <c r="D52" s="120">
        <f t="shared" ref="D52:E52" si="18">SUM(D32:D51)</f>
        <v>0</v>
      </c>
      <c r="E52" s="120">
        <f t="shared" si="18"/>
        <v>0</v>
      </c>
      <c r="F52" s="120">
        <f>SUM(F32:F51)</f>
        <v>5563609.423902438</v>
      </c>
      <c r="G52" s="137">
        <f>SUM(G32:G51)</f>
        <v>5397230.0521207321</v>
      </c>
      <c r="H52" s="137">
        <f>SUM(H32:H51)-H50</f>
        <v>5110000.0000000009</v>
      </c>
      <c r="I52" s="137">
        <f>SUM(I32:I51)</f>
        <v>5172000.0000000009</v>
      </c>
      <c r="J52" s="143">
        <v>5123956</v>
      </c>
      <c r="K52" s="144">
        <f>I52-J52</f>
        <v>48044.000000000931</v>
      </c>
      <c r="L52" s="144">
        <f>H52-I52</f>
        <v>-62000</v>
      </c>
      <c r="M52" s="144">
        <f>G52-H52</f>
        <v>287230.05212073121</v>
      </c>
      <c r="N52" s="140">
        <f t="shared" ref="N52:N53" si="19">F52-G52</f>
        <v>166379.37178170588</v>
      </c>
      <c r="O52" s="140">
        <f t="shared" ref="O52:O53" si="20">E52-F52</f>
        <v>-5563609.423902438</v>
      </c>
      <c r="P52" s="140">
        <f t="shared" ref="P52:P53" si="21">D52-E52</f>
        <v>0</v>
      </c>
      <c r="Q52" s="140">
        <f t="shared" ref="Q52:Q53" si="22">D52-I52</f>
        <v>-5172000.0000000009</v>
      </c>
    </row>
    <row r="53" spans="3:17" s="17" customFormat="1" ht="15" customHeight="1" x14ac:dyDescent="0.3">
      <c r="C53" s="128" t="s">
        <v>176</v>
      </c>
      <c r="D53" s="129">
        <f t="shared" ref="D53" si="23">D31+D52</f>
        <v>1449701</v>
      </c>
      <c r="E53" s="129">
        <f t="shared" ref="E53" si="24">E31+E52</f>
        <v>1449701</v>
      </c>
      <c r="F53" s="129">
        <f>F31+F52</f>
        <v>7040310.423902438</v>
      </c>
      <c r="G53" s="145">
        <f>G31+G52</f>
        <v>6846931.0521207321</v>
      </c>
      <c r="H53" s="145">
        <f t="shared" ref="H53:I53" si="25">H31+H52</f>
        <v>6552642.6000000015</v>
      </c>
      <c r="I53" s="145">
        <f t="shared" si="25"/>
        <v>6614642.6000000015</v>
      </c>
      <c r="J53" s="145">
        <f>J31+J52</f>
        <v>6562706</v>
      </c>
      <c r="K53" s="146">
        <f>I53-J53</f>
        <v>51936.60000000149</v>
      </c>
      <c r="L53" s="146">
        <f>H53-I53</f>
        <v>-62000</v>
      </c>
      <c r="M53" s="146">
        <f>G53-H53</f>
        <v>294288.45212073065</v>
      </c>
      <c r="N53" s="147">
        <f t="shared" si="19"/>
        <v>193379.37178170588</v>
      </c>
      <c r="O53" s="147">
        <f t="shared" si="20"/>
        <v>-5590609.423902438</v>
      </c>
      <c r="P53" s="147">
        <f t="shared" si="21"/>
        <v>0</v>
      </c>
      <c r="Q53" s="147">
        <f t="shared" si="22"/>
        <v>-5164941.6000000015</v>
      </c>
    </row>
    <row r="54" spans="3:17" s="17" customFormat="1" ht="15" customHeight="1" x14ac:dyDescent="0.3">
      <c r="C54" s="125" t="s">
        <v>158</v>
      </c>
      <c r="D54" s="124">
        <v>7312437</v>
      </c>
      <c r="E54" s="124">
        <v>7312437</v>
      </c>
      <c r="F54" s="124">
        <v>7312437</v>
      </c>
      <c r="G54" s="148">
        <v>7312437</v>
      </c>
      <c r="H54" s="148">
        <v>7312437</v>
      </c>
      <c r="I54" s="148">
        <v>7312437</v>
      </c>
      <c r="J54" s="148">
        <v>7312437</v>
      </c>
      <c r="K54" s="149"/>
      <c r="L54" s="149"/>
      <c r="M54" s="149"/>
      <c r="N54" s="150"/>
      <c r="O54" s="150"/>
      <c r="P54" s="150"/>
      <c r="Q54" s="150"/>
    </row>
    <row r="55" spans="3:17" s="17" customFormat="1" ht="15" customHeight="1" x14ac:dyDescent="0.3">
      <c r="C55" s="126" t="s">
        <v>177</v>
      </c>
      <c r="D55" s="198">
        <f t="shared" ref="D55:E55" si="26">D54-D53-D57-D58</f>
        <v>5471876</v>
      </c>
      <c r="E55" s="198">
        <f t="shared" si="26"/>
        <v>5471876</v>
      </c>
      <c r="F55" s="196">
        <f>F54-F53-F57-F58</f>
        <v>-118733.42390243802</v>
      </c>
      <c r="G55" s="127">
        <f t="shared" ref="G55:J55" si="27">G54-G53-G57-G58</f>
        <v>74645.947879267856</v>
      </c>
      <c r="H55" s="127">
        <f t="shared" si="27"/>
        <v>368934.39999999851</v>
      </c>
      <c r="I55" s="127">
        <f t="shared" si="27"/>
        <v>306934.39999999851</v>
      </c>
      <c r="J55" s="127">
        <f t="shared" si="27"/>
        <v>358871</v>
      </c>
      <c r="K55" s="149"/>
      <c r="L55" s="149"/>
      <c r="M55" s="149"/>
      <c r="N55" s="150"/>
      <c r="O55" s="150"/>
      <c r="P55" s="150"/>
      <c r="Q55" s="150"/>
    </row>
    <row r="56" spans="3:17" s="17" customFormat="1" ht="15" customHeight="1" x14ac:dyDescent="0.3">
      <c r="C56" s="122"/>
      <c r="D56" s="123"/>
      <c r="E56" s="123"/>
      <c r="F56" s="123"/>
      <c r="G56" s="133"/>
      <c r="H56" s="133"/>
      <c r="I56" s="133"/>
      <c r="J56" s="133"/>
      <c r="K56" s="149"/>
      <c r="L56" s="149"/>
      <c r="M56" s="149"/>
      <c r="N56" s="150"/>
      <c r="O56" s="150"/>
      <c r="P56" s="150"/>
      <c r="Q56" s="150"/>
    </row>
    <row r="57" spans="3:17" ht="15" customHeight="1" x14ac:dyDescent="0.3">
      <c r="C57" s="114" t="s">
        <v>156</v>
      </c>
      <c r="D57" s="132">
        <v>89315</v>
      </c>
      <c r="E57" s="132">
        <v>89315</v>
      </c>
      <c r="F57" s="132">
        <v>89315</v>
      </c>
      <c r="G57" s="132">
        <v>89315</v>
      </c>
      <c r="H57" s="132">
        <v>89315</v>
      </c>
      <c r="I57" s="142">
        <v>89315</v>
      </c>
      <c r="J57" s="151">
        <v>89315</v>
      </c>
      <c r="K57" s="134">
        <f t="shared" ref="K57:K58" si="28">J57-I57</f>
        <v>0</v>
      </c>
      <c r="L57" s="134"/>
      <c r="M57" s="134"/>
      <c r="N57" s="135"/>
      <c r="O57" s="135"/>
      <c r="P57" s="135"/>
      <c r="Q57" s="135"/>
    </row>
    <row r="58" spans="3:17" ht="15" customHeight="1" x14ac:dyDescent="0.3">
      <c r="C58" s="114" t="s">
        <v>157</v>
      </c>
      <c r="D58" s="132">
        <v>301545</v>
      </c>
      <c r="E58" s="132">
        <v>301545</v>
      </c>
      <c r="F58" s="132">
        <v>301545</v>
      </c>
      <c r="G58" s="132">
        <v>301545</v>
      </c>
      <c r="H58" s="132">
        <v>301545</v>
      </c>
      <c r="I58" s="142">
        <v>301545</v>
      </c>
      <c r="J58" s="151">
        <v>301545</v>
      </c>
      <c r="K58" s="134">
        <f t="shared" si="28"/>
        <v>0</v>
      </c>
      <c r="L58" s="134"/>
      <c r="M58" s="134"/>
      <c r="N58" s="135"/>
      <c r="O58" s="135"/>
      <c r="P58" s="135"/>
      <c r="Q58" s="135"/>
    </row>
    <row r="59" spans="3:17" x14ac:dyDescent="0.3">
      <c r="G59" s="17"/>
    </row>
    <row r="60" spans="3:17" x14ac:dyDescent="0.3">
      <c r="F60" s="162"/>
      <c r="G60" s="17"/>
    </row>
    <row r="61" spans="3:17" x14ac:dyDescent="0.3">
      <c r="F61" s="200"/>
    </row>
    <row r="63" spans="3:17" x14ac:dyDescent="0.3">
      <c r="F63" s="195"/>
    </row>
  </sheetData>
  <mergeCells count="20">
    <mergeCell ref="M12:M14"/>
    <mergeCell ref="P12:P14"/>
    <mergeCell ref="Q4:Q5"/>
    <mergeCell ref="G12:G13"/>
    <mergeCell ref="I12:I13"/>
    <mergeCell ref="J12:J13"/>
    <mergeCell ref="O12:O14"/>
    <mergeCell ref="K12:K14"/>
    <mergeCell ref="Q12:Q14"/>
    <mergeCell ref="L12:L14"/>
    <mergeCell ref="H12:H13"/>
    <mergeCell ref="N12:N14"/>
    <mergeCell ref="D12:D13"/>
    <mergeCell ref="A7:A8"/>
    <mergeCell ref="E6:E7"/>
    <mergeCell ref="E2:H2"/>
    <mergeCell ref="E4:H4"/>
    <mergeCell ref="F12:F13"/>
    <mergeCell ref="E12:E13"/>
    <mergeCell ref="E8:E9"/>
  </mergeCells>
  <conditionalFormatting sqref="L32:Q49 K54:Q56 K52:M53 L50:M51 N50:Q53 K15:Q31">
    <cfRule type="cellIs" dxfId="1" priority="1" operator="lessThanOrEqual">
      <formula>0</formula>
    </cfRule>
    <cfRule type="cellIs" dxfId="0" priority="3" operator="greaterThan">
      <formula>0</formula>
    </cfRule>
  </conditionalFormatting>
  <dataValidations count="1">
    <dataValidation type="list" allowBlank="1" showInputMessage="1" showErrorMessage="1" sqref="H6">
      <formula1>"MB,ER"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2" workbookViewId="0">
      <selection activeCell="E58" sqref="E58"/>
    </sheetView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Détails</vt:lpstr>
      <vt:lpstr>Détails M0</vt:lpstr>
      <vt:lpstr>Résumé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CHPG</dc:creator>
  <cp:lastModifiedBy>CHPG</cp:lastModifiedBy>
  <dcterms:created xsi:type="dcterms:W3CDTF">2024-12-11T08:04:33Z</dcterms:created>
  <dcterms:modified xsi:type="dcterms:W3CDTF">2025-02-11T13:32:30Z</dcterms:modified>
</cp:coreProperties>
</file>